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sion 1" sheetId="1" r:id="rId4"/>
    <sheet state="visible" name="Summer Outdoor Series" sheetId="2" r:id="rId5"/>
    <sheet state="visible" name="XC Champs Open Master" sheetId="3" r:id="rId6"/>
    <sheet state="visible" name="HOF" sheetId="4" r:id="rId7"/>
    <sheet state="visible" name="Indoor Championship" sheetId="5" r:id="rId8"/>
    <sheet state="hidden" name="Indoor All Comers" sheetId="6" r:id="rId9"/>
    <sheet state="visible" name="Indoor Series" sheetId="7" r:id="rId10"/>
    <sheet state="visible" name="LDR" sheetId="8" r:id="rId11"/>
    <sheet state="visible" name="Brian Kraft" sheetId="9" r:id="rId12"/>
    <sheet state="visible" name="MUT" sheetId="10" r:id="rId13"/>
    <sheet state="visible" name="Officials" sheetId="11" r:id="rId14"/>
    <sheet state="visible" name="Open &amp; Masters" sheetId="12" r:id="rId15"/>
    <sheet state="visible" name="JO Track Meet" sheetId="13" r:id="rId16"/>
    <sheet state="hidden" name="Region 8 Meet" sheetId="14" r:id="rId17"/>
    <sheet state="visible" name="National Annual Meeting" sheetId="15" r:id="rId18"/>
    <sheet state="visible" name="Association Annual Meeting" sheetId="16" r:id="rId1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84">
      <text>
        <t xml:space="preserve">Included in Kraft Expenses
	-Sam Rush</t>
      </text>
    </comment>
    <comment authorId="0" ref="G38">
      <text>
        <t xml:space="preserve">Not hosting in '23
	-Sam Rush</t>
      </text>
    </comment>
    <comment authorId="0" ref="G69">
      <text>
        <t xml:space="preserve">Not hosting in '23
	-Sam Rush</t>
      </text>
    </comment>
    <comment authorId="0" ref="G25">
      <text>
        <t xml:space="preserve">Included in Kraft Income
	-Sam Rush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6">
      <text>
        <t xml:space="preserve">Gas $
Truck $
	-Craig Yotter</t>
      </text>
    </comment>
    <comment authorId="0" ref="E17">
      <text>
        <t xml:space="preserve">Water $
bottled water $63.80
Bananas, bars, ice $134.46
Cups $</t>
      </text>
    </comment>
    <comment authorId="0" ref="F17">
      <text>
        <t xml:space="preserve">Water $
bottle water $
Bars $
Cups $
	-Craig Yotter</t>
      </text>
    </comment>
    <comment authorId="0" ref="D16">
      <text>
        <t xml:space="preserve">Van Rental: $403.19
Gas: $21.10</t>
      </text>
    </comment>
    <comment authorId="0" ref="G16">
      <text>
        <t xml:space="preserve">Gas $8.77
Truck $49.02
	-Craig Yotter</t>
      </text>
    </comment>
    <comment authorId="0" ref="G17">
      <text>
        <t xml:space="preserve">Water $19.62
bottle water $38.87
Bars $71.92
Cups $12.31
	-Craig Yotter</t>
      </text>
    </comment>
    <comment authorId="0" ref="E16">
      <text>
        <t xml:space="preserve">Van Rental: $403.19
Gas: $21.10</t>
      </text>
    </comment>
    <comment authorId="0" ref="D17">
      <text>
        <t xml:space="preserve">Water $
bottled water $63.80
Bananas, bars, ice $134.46
Cups $</t>
      </text>
    </comment>
  </commentList>
</comments>
</file>

<file path=xl/sharedStrings.xml><?xml version="1.0" encoding="utf-8"?>
<sst xmlns="http://schemas.openxmlformats.org/spreadsheetml/2006/main" count="662" uniqueCount="320">
  <si>
    <t>USATF Minnesota</t>
  </si>
  <si>
    <t>Profit &amp; Loss Budget Overview</t>
  </si>
  <si>
    <t>January through December 2023</t>
  </si>
  <si>
    <t>Version 1</t>
  </si>
  <si>
    <t>Budget</t>
  </si>
  <si>
    <t>Actual</t>
  </si>
  <si>
    <t>Notes</t>
  </si>
  <si>
    <t>Ordinary Income/Expense</t>
  </si>
  <si>
    <t>Income</t>
  </si>
  <si>
    <t>Award Celebration</t>
  </si>
  <si>
    <t>-</t>
  </si>
  <si>
    <t>Based upon 2020 budget</t>
  </si>
  <si>
    <t>Contributions</t>
  </si>
  <si>
    <t>Individual</t>
  </si>
  <si>
    <t>Corporate</t>
  </si>
  <si>
    <t>Total Contributions</t>
  </si>
  <si>
    <t>Event Income</t>
  </si>
  <si>
    <t>Brian Kraft 5K</t>
  </si>
  <si>
    <t>Cross Country Championship - Youth</t>
  </si>
  <si>
    <t>Cross Country Championship - Open/Masters</t>
  </si>
  <si>
    <t>Now includes JO</t>
  </si>
  <si>
    <t>Cross Country Series</t>
  </si>
  <si>
    <t>Indoor All Ages Series</t>
  </si>
  <si>
    <t>Indoor Championship - Youth/Open/Masters</t>
  </si>
  <si>
    <t>LDR Championships</t>
  </si>
  <si>
    <t>Hot Dash 5k</t>
  </si>
  <si>
    <t>Not a championship in 2023</t>
  </si>
  <si>
    <t>Get In Gear 10k</t>
  </si>
  <si>
    <t>Grandma's Marathon</t>
  </si>
  <si>
    <t>Park Point 5-Miler</t>
  </si>
  <si>
    <t>Hopkins Raspberry 1 Mile</t>
  </si>
  <si>
    <t>Jeff Winter City of Lakes Half</t>
  </si>
  <si>
    <t>TC 10 Mile</t>
  </si>
  <si>
    <t>Victory Races 10k</t>
  </si>
  <si>
    <t>USATF Minnesota XC Meet</t>
  </si>
  <si>
    <t>Total LDR Championships</t>
  </si>
  <si>
    <t>Racewalking 10k &amp; 20k</t>
  </si>
  <si>
    <t>Outdoor Championship - Open/Masters</t>
  </si>
  <si>
    <t>JO Region 8 Track Meet</t>
  </si>
  <si>
    <t>Not happening in 2023</t>
  </si>
  <si>
    <t>Outdoor Championship - Youth</t>
  </si>
  <si>
    <t>Summer Track &amp; Field Series</t>
  </si>
  <si>
    <t>MUT Championships/Series</t>
  </si>
  <si>
    <t>Total Event Income</t>
  </si>
  <si>
    <t>Memberships</t>
  </si>
  <si>
    <t>Club Memberships</t>
  </si>
  <si>
    <t>Increase over 2022 due to post pandemic</t>
  </si>
  <si>
    <t>Individual Memberships</t>
  </si>
  <si>
    <t>Total Memberships</t>
  </si>
  <si>
    <t>Race Sanctions</t>
  </si>
  <si>
    <t>Total Income</t>
  </si>
  <si>
    <t>Expense</t>
  </si>
  <si>
    <t>Annual USATF Meeting</t>
  </si>
  <si>
    <t>Based upon 2022</t>
  </si>
  <si>
    <t>Annual Association Meeting</t>
  </si>
  <si>
    <t>Annual Report</t>
  </si>
  <si>
    <t>Equipment/Supplies</t>
  </si>
  <si>
    <t>Events</t>
  </si>
  <si>
    <t>Total Events</t>
  </si>
  <si>
    <t>Grants</t>
  </si>
  <si>
    <t>Hall of Fame</t>
  </si>
  <si>
    <t>Insurance &amp; Bonding</t>
  </si>
  <si>
    <t>Total Insurance &amp; Bonding</t>
  </si>
  <si>
    <t>Get In Gear</t>
  </si>
  <si>
    <t>Hopkins Rapsberry 1 Mile</t>
  </si>
  <si>
    <t>USATF MN XC Championship</t>
  </si>
  <si>
    <t>Managing Director</t>
  </si>
  <si>
    <t>Employer Taxes</t>
  </si>
  <si>
    <t>Salary/Employee Taxes</t>
  </si>
  <si>
    <t>Total Managing Director</t>
  </si>
  <si>
    <t>Marketing</t>
  </si>
  <si>
    <t>Misc Expense</t>
  </si>
  <si>
    <t>Officials</t>
  </si>
  <si>
    <t>Operations</t>
  </si>
  <si>
    <t xml:space="preserve">Tape, Bibs, Adult Medals, Hip #s </t>
  </si>
  <si>
    <t>Survey Monkey</t>
  </si>
  <si>
    <t xml:space="preserve">Adobe </t>
  </si>
  <si>
    <t>Quickbooks Training</t>
  </si>
  <si>
    <t>Phone</t>
  </si>
  <si>
    <t>Zoom Subscription</t>
  </si>
  <si>
    <t>Total Operations</t>
  </si>
  <si>
    <t>Postage</t>
  </si>
  <si>
    <t>Sanctions</t>
  </si>
  <si>
    <t>Storage Facility</t>
  </si>
  <si>
    <t>Total Expenses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</si>
  <si>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</si>
  <si>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</si>
  <si>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</si>
  <si>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</si>
  <si>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</si>
  <si>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</si>
  <si>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</si>
  <si>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Meet 1</t>
  </si>
  <si>
    <t>Meet 2</t>
  </si>
  <si>
    <t>Meet 3</t>
  </si>
  <si>
    <t>Meet 4</t>
  </si>
  <si>
    <t>Meet 5</t>
  </si>
  <si>
    <t>Total</t>
  </si>
  <si>
    <t>Income:</t>
  </si>
  <si>
    <t>Online Registration Fees</t>
  </si>
  <si>
    <t>*we lowered the cost of the meet because we had to cancel the 3rd meet at the start due to weather</t>
  </si>
  <si>
    <t>Event Day Registration</t>
  </si>
  <si>
    <t>Donations</t>
  </si>
  <si>
    <t>Gate/Ticket</t>
  </si>
  <si>
    <t>none for summer league</t>
  </si>
  <si>
    <t>T-Shirt Sales</t>
  </si>
  <si>
    <t>Expenses</t>
  </si>
  <si>
    <t>Trainer</t>
  </si>
  <si>
    <t>Facility</t>
  </si>
  <si>
    <t>Timing</t>
  </si>
  <si>
    <t>Meet Director fee</t>
  </si>
  <si>
    <t>Food for officials</t>
  </si>
  <si>
    <t>Meet Manager Fee</t>
  </si>
  <si>
    <t>Officials Coordinator Fee</t>
  </si>
  <si>
    <t>Gate Worker Fee</t>
  </si>
  <si>
    <t>Hotels</t>
  </si>
  <si>
    <t>Laser Measuring</t>
  </si>
  <si>
    <t>Profit/Loss</t>
  </si>
  <si>
    <t>MN XC Champs</t>
  </si>
  <si>
    <t>2023 Budget</t>
  </si>
  <si>
    <t>Revenue</t>
  </si>
  <si>
    <t>Assumption</t>
  </si>
  <si>
    <t># of registrants</t>
  </si>
  <si>
    <t>$ / registrants</t>
  </si>
  <si>
    <t>Preregistrations</t>
  </si>
  <si>
    <t>97 people</t>
  </si>
  <si>
    <t>Race Day</t>
  </si>
  <si>
    <t>0 people</t>
  </si>
  <si>
    <t>Total Revenue</t>
  </si>
  <si>
    <t>Registrants pay fee for online registration</t>
  </si>
  <si>
    <t>Awards</t>
  </si>
  <si>
    <t>gift certificates? TBD</t>
  </si>
  <si>
    <t>Parking</t>
  </si>
  <si>
    <t>Food</t>
  </si>
  <si>
    <t>Orange juice, plates, forks, water</t>
  </si>
  <si>
    <t>Forms</t>
  </si>
  <si>
    <t>Numbers</t>
  </si>
  <si>
    <t>Pins</t>
  </si>
  <si>
    <t>Sanction</t>
  </si>
  <si>
    <t>101-250 people</t>
  </si>
  <si>
    <t>Timing/Results</t>
  </si>
  <si>
    <t>Toilets</t>
  </si>
  <si>
    <t>2 toilets @ $50 each</t>
  </si>
  <si>
    <t>Total Expense</t>
  </si>
  <si>
    <t>Net Profit</t>
  </si>
  <si>
    <t>Hall of Fame Committee 2023</t>
  </si>
  <si>
    <t>Domain Name</t>
  </si>
  <si>
    <t>Indoor Track &amp; Field Championships</t>
  </si>
  <si>
    <t>University of Minnesota</t>
  </si>
  <si>
    <t>March 13, 2023</t>
  </si>
  <si>
    <t>Over</t>
  </si>
  <si>
    <t>(Under)</t>
  </si>
  <si>
    <t xml:space="preserve">  Pre-Registrations</t>
  </si>
  <si>
    <t>1)</t>
  </si>
  <si>
    <t xml:space="preserve">  Race Day</t>
  </si>
  <si>
    <t>2)</t>
  </si>
  <si>
    <t xml:space="preserve">  Memberships</t>
  </si>
  <si>
    <t xml:space="preserve">  Gate</t>
  </si>
  <si>
    <t>3)</t>
  </si>
  <si>
    <t xml:space="preserve">  Tshirts</t>
  </si>
  <si>
    <t>4)</t>
  </si>
  <si>
    <t xml:space="preserve">  Online Registration Fee</t>
  </si>
  <si>
    <t xml:space="preserve">  Entry Forms</t>
  </si>
  <si>
    <t>5)</t>
  </si>
  <si>
    <t xml:space="preserve">  Medals</t>
  </si>
  <si>
    <t>6)</t>
  </si>
  <si>
    <t>Use youth stock, order Open/Master  medals</t>
  </si>
  <si>
    <t>7)</t>
  </si>
  <si>
    <t xml:space="preserve">  Facility Rental</t>
  </si>
  <si>
    <t>8)</t>
  </si>
  <si>
    <t xml:space="preserve">  Timing/Results</t>
  </si>
  <si>
    <t>9)</t>
  </si>
  <si>
    <t xml:space="preserve">  Official's Parking</t>
  </si>
  <si>
    <t>10)</t>
  </si>
  <si>
    <t xml:space="preserve">  Official's Payment</t>
  </si>
  <si>
    <t>11)</t>
  </si>
  <si>
    <t xml:space="preserve">  Sanction</t>
  </si>
  <si>
    <t>12)</t>
  </si>
  <si>
    <t xml:space="preserve">  Trainer</t>
  </si>
  <si>
    <t>13)</t>
  </si>
  <si>
    <t xml:space="preserve">  Misc Supplies (pizza, water, ice)</t>
  </si>
  <si>
    <t>14)</t>
  </si>
  <si>
    <t xml:space="preserve">  Meet Director</t>
  </si>
  <si>
    <t>15)</t>
  </si>
  <si>
    <t xml:space="preserve">  Workers</t>
  </si>
  <si>
    <t xml:space="preserve">  Starter Shells</t>
  </si>
  <si>
    <t>Profit(Loss)</t>
  </si>
  <si>
    <t>1. 350 pre-registrations at $15/ea</t>
  </si>
  <si>
    <t>2. 0 meet day registrations at $20/ea</t>
  </si>
  <si>
    <t>3. 0 spectators at $5/ea</t>
  </si>
  <si>
    <t>4. 100 tshirts at $12/ea</t>
  </si>
  <si>
    <t>5. 0 entries at $.12/ea</t>
  </si>
  <si>
    <t>6. 100 medals used at $1.50/ea</t>
  </si>
  <si>
    <t>7. 100 tshirts at $6.50/ea</t>
  </si>
  <si>
    <t>8. Facility - U of M Indoor Track, 8 am - 6 pm</t>
  </si>
  <si>
    <t xml:space="preserve">  10 hours @ $330/hr, $150 equipment, Mpls tax of 8.025%</t>
  </si>
  <si>
    <t xml:space="preserve">  10 hours @ $16/hr staff</t>
  </si>
  <si>
    <t>9. Timing/results plus parking</t>
  </si>
  <si>
    <t>10. Parking - 20 officials for $10</t>
  </si>
  <si>
    <t>11. Officials - 16 at $80, 4 at $50</t>
  </si>
  <si>
    <t>12. Sanction for 251-500 - $205</t>
  </si>
  <si>
    <t>13. Trainer - 8 hours at $35/hr</t>
  </si>
  <si>
    <t>14. Official food, etc…</t>
  </si>
  <si>
    <t>15. Event director</t>
  </si>
  <si>
    <t>Indoor All-Comers Meets</t>
  </si>
  <si>
    <t>Meet #2</t>
  </si>
  <si>
    <t>Meet #3</t>
  </si>
  <si>
    <t>Meet #4</t>
  </si>
  <si>
    <t>Meet #5</t>
  </si>
  <si>
    <t>Meet #1</t>
  </si>
  <si>
    <t>U of M</t>
  </si>
  <si>
    <t>Bethel</t>
  </si>
  <si>
    <t>Date</t>
  </si>
  <si>
    <t>January</t>
  </si>
  <si>
    <t>February</t>
  </si>
  <si>
    <t>December</t>
  </si>
  <si>
    <t>Registrations</t>
  </si>
  <si>
    <t>Shells</t>
  </si>
  <si>
    <t>Meet Director</t>
  </si>
  <si>
    <t>Meet Workers</t>
  </si>
  <si>
    <t xml:space="preserve">        </t>
  </si>
  <si>
    <t>Net Profit (Loss)</t>
  </si>
  <si>
    <t>Assumptions:</t>
  </si>
  <si>
    <t>Five hour meets.</t>
  </si>
  <si>
    <t>1) USATF members pay $15 and non-members pay $20. Budget assumes all are USATF members.</t>
  </si>
  <si>
    <t>2) U of M facility - quote. St John's facility estimate. Bethel facility at $150/hr or $750 meet.</t>
  </si>
  <si>
    <t>3) Wayzata Results at $500/meet. St John's meet includes 180 miles round trip at $.60/mile.</t>
  </si>
  <si>
    <t>4) Meet director at $0</t>
  </si>
  <si>
    <t>5) Officials - starter,  clerk, 2 long jump/triple jump, 2 high jump, 2 pole vault, 2 throws all at $60.</t>
  </si>
  <si>
    <t>6) Meet workers - 5 college track athletes at $50/meet</t>
  </si>
  <si>
    <t>7) Sanction - Meets of 101-250 is $110.</t>
  </si>
  <si>
    <t>8) Forms - online registration only.</t>
  </si>
  <si>
    <t>9) Bib numbers $0.20/each.</t>
  </si>
  <si>
    <t>10) Safety pins at $6/box for 350 participants.</t>
  </si>
  <si>
    <t>11) Trainer at $35/hour for 5 hours.</t>
  </si>
  <si>
    <t>2023 LDR Budget</t>
  </si>
  <si>
    <t>11 championship races at:</t>
  </si>
  <si>
    <t>10 championships at:</t>
  </si>
  <si>
    <t>Circuit Scorer</t>
  </si>
  <si>
    <t>Brian Kraft 5k</t>
  </si>
  <si>
    <t>Loss</t>
  </si>
  <si>
    <t>2023 Brian Kraft Memorial 5K Budget</t>
  </si>
  <si>
    <t>Name</t>
  </si>
  <si>
    <t>Memo/Description</t>
  </si>
  <si>
    <t>2023 Actual</t>
  </si>
  <si>
    <t>2022 Actual</t>
  </si>
  <si>
    <t>2021 Actual</t>
  </si>
  <si>
    <t>2019 Actual</t>
  </si>
  <si>
    <t>Entry Fees</t>
  </si>
  <si>
    <t xml:space="preserve"> 275 USATF @ $30; Pre-Reg 175 @ $35; Race day 50 @ $40</t>
  </si>
  <si>
    <t>Prize Money Donations</t>
  </si>
  <si>
    <t>Sponsorships</t>
  </si>
  <si>
    <t>Runner Contributions</t>
  </si>
  <si>
    <t>Average between 2019, 2021 and 2022</t>
  </si>
  <si>
    <t xml:space="preserve">         Total Revenue:</t>
  </si>
  <si>
    <t>Runner contributions plus 50% of profits</t>
  </si>
  <si>
    <t>Entry Forms</t>
  </si>
  <si>
    <t>Printing of Race Day Entry Forms</t>
  </si>
  <si>
    <t>Equipment Rental</t>
  </si>
  <si>
    <t>Truck Rental + Gas</t>
  </si>
  <si>
    <t>Food/Water</t>
  </si>
  <si>
    <t>Water, Bottled Water, Bananas, Bars</t>
  </si>
  <si>
    <t>Medical</t>
  </si>
  <si>
    <t>$1 per registrant</t>
  </si>
  <si>
    <t>Miscellaneous</t>
  </si>
  <si>
    <t>Race bibs - from MTEC ($.20/bib)</t>
  </si>
  <si>
    <t>Mpls Parks &amp; Police</t>
  </si>
  <si>
    <t>$159 Sound, $80 Admin, $79 Tents, $2,398 Police, $5 per participant fee (90% of registrants)</t>
  </si>
  <si>
    <t>Safety pins for numbers</t>
  </si>
  <si>
    <t>Printing &amp; Postage</t>
  </si>
  <si>
    <t>Race advertisement postcards</t>
  </si>
  <si>
    <t>Prize Money/Awards</t>
  </si>
  <si>
    <t>$350 for top 3 men &amp; women; $500 for 5k Team Championship, $100 Course Record</t>
  </si>
  <si>
    <t>Sanction Fee</t>
  </si>
  <si>
    <t>USATF Sanction Fee for 500 finishers</t>
  </si>
  <si>
    <t>MTEC chip timing, $2.25 per registered runner (451 registrants)</t>
  </si>
  <si>
    <t>Biffs - 6 regular @ $70, 1 ADA @ $150</t>
  </si>
  <si>
    <t>Traffic Management</t>
  </si>
  <si>
    <t>Warning Lites MN</t>
  </si>
  <si>
    <t>Trainers</t>
  </si>
  <si>
    <t>T-shirts</t>
  </si>
  <si>
    <t>Track Club Co Shirts - 600 with one color front, soft cotton @ $7.50/shirt</t>
  </si>
  <si>
    <t xml:space="preserve">         Total Expense:</t>
  </si>
  <si>
    <t>Total Expense + Total Donation</t>
  </si>
  <si>
    <t>Net Income:</t>
  </si>
  <si>
    <t>Net Income minus Donation:</t>
  </si>
  <si>
    <t>Total Donation</t>
  </si>
  <si>
    <t>MN MUT  2023 Budget</t>
  </si>
  <si>
    <t>Sponsorship</t>
  </si>
  <si>
    <t xml:space="preserve">Prize Money </t>
  </si>
  <si>
    <t xml:space="preserve"> USATF Minnesota Trail Championship </t>
  </si>
  <si>
    <t xml:space="preserve"> USATF Minnesota Ultra Championship </t>
  </si>
  <si>
    <t xml:space="preserve"> Total Revenue</t>
  </si>
  <si>
    <t xml:space="preserve"> USATF Minnesota Trail Championship</t>
  </si>
  <si>
    <t xml:space="preserve">  Male Open (1st-3rd)</t>
  </si>
  <si>
    <t xml:space="preserve">  Female Open (1st-3rd)</t>
  </si>
  <si>
    <t xml:space="preserve">  Male Masters (1st-3rd)</t>
  </si>
  <si>
    <t xml:space="preserve">  Female Masters (1st-3rd)</t>
  </si>
  <si>
    <t xml:space="preserve"> USATF Minnesota Ultra Championship</t>
  </si>
  <si>
    <t>MUT Series</t>
  </si>
  <si>
    <t xml:space="preserve"> Race Awards Top 2 (M/F, O/M)</t>
  </si>
  <si>
    <t xml:space="preserve"> Series Awards Overall Point &amp; Mileage (M/F, O/M)</t>
  </si>
  <si>
    <t>Championship Certificates/Supplies/Postage</t>
  </si>
  <si>
    <t>Advertisement for Championships &amp; Series</t>
  </si>
  <si>
    <t xml:space="preserve"> Total Expenses</t>
  </si>
  <si>
    <t>Misc</t>
  </si>
  <si>
    <t>Clinic</t>
  </si>
  <si>
    <t>Gate</t>
  </si>
  <si>
    <t>*Not Final yet</t>
  </si>
  <si>
    <t>*$200 in 2023</t>
  </si>
  <si>
    <t>JO Track Meet</t>
  </si>
  <si>
    <t>Porta Potties</t>
  </si>
  <si>
    <t>T-shirt Sales</t>
  </si>
  <si>
    <t>Laser</t>
  </si>
  <si>
    <t>Officials Coordinator/Meet Manager</t>
  </si>
  <si>
    <t>Officials Food</t>
  </si>
  <si>
    <t>Facility Rental</t>
  </si>
  <si>
    <t>Advertising</t>
  </si>
  <si>
    <t>Officials Hotel</t>
  </si>
  <si>
    <t>Net Proft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</si>
</sst>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_);_(&quot;$&quot;* \(#,##0.00\);_(&quot;$&quot;* &quot;-&quot;??_);_(@_)"/>
    <numFmt numFmtId="169" formatCode="#,##0.00\ _€"/>
  </numFmts>
  <fonts count="39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</font>
    <font>
      <sz val="10.0"/>
      <color theme="1"/>
      <name val="Calibri"/>
    </font>
    <font>
      <sz val="10.0"/>
      <color rgb="FF000000"/>
      <name val="Arial"/>
    </font>
    <font>
      <b/>
      <sz val="10.0"/>
      <color theme="1"/>
      <name val="Calibri"/>
    </font>
    <font>
      <b/>
      <sz val="10.0"/>
      <color rgb="FF000000"/>
      <name val="Arial"/>
    </font>
    <font>
      <sz val="11.0"/>
      <color theme="1"/>
      <name val="Times New Roman"/>
    </font>
    <font>
      <sz val="10.0"/>
      <color theme="1"/>
      <name val="Arial"/>
    </font>
    <font>
      <sz val="11.0"/>
      <color rgb="FF000000"/>
      <name val="Times New Roman"/>
    </font>
    <font>
      <b/>
      <sz val="11.0"/>
      <color rgb="FF000000"/>
      <name val="Times New Roman"/>
    </font>
    <font>
      <b/>
      <sz val="8.0"/>
      <color rgb="FF000000"/>
      <name val="Times New Roman"/>
    </font>
    <font>
      <sz val="8.0"/>
      <color rgb="FF000000"/>
      <name val="Times New Roman"/>
    </font>
    <font>
      <sz val="11.0"/>
      <color rgb="FF000000"/>
      <name val="Courier New"/>
    </font>
    <font>
      <sz val="11.0"/>
      <color theme="1"/>
      <name val="Courier New"/>
    </font>
    <font>
      <sz val="10.0"/>
      <color theme="1"/>
      <name val="Courier New"/>
    </font>
    <font>
      <b/>
      <sz val="14.0"/>
      <color theme="1"/>
      <name val="Calibri"/>
    </font>
    <font>
      <b/>
      <sz val="12.0"/>
      <color theme="1"/>
      <name val="Calibri"/>
    </font>
    <font>
      <b/>
      <u/>
      <sz val="12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u/>
      <sz val="12.0"/>
      <color rgb="FF000000"/>
      <name val="Calibri"/>
    </font>
    <font>
      <b/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b/>
      <sz val="14.0"/>
      <color rgb="FF000000"/>
      <name val="Arial"/>
    </font>
    <font>
      <sz val="11.0"/>
      <color rgb="FF000000"/>
      <name val="Calibri"/>
    </font>
    <font>
      <b/>
      <sz val="12.0"/>
      <color rgb="FF000000"/>
      <name val="Arial"/>
    </font>
    <font>
      <b/>
      <sz val="9.0"/>
      <color rgb="FF000000"/>
      <name val="Arial"/>
    </font>
    <font>
      <sz val="8.0"/>
      <color rgb="FF000000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8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/>
      <right/>
      <top/>
      <bottom/>
    </border>
    <border>
      <bottom style="double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bottom style="double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4" xfId="0" applyFont="1" applyNumberFormat="1"/>
    <xf borderId="0" fillId="0" fontId="2" numFmtId="0" xfId="0" applyFont="1"/>
    <xf borderId="0" fillId="0" fontId="1" numFmtId="164" xfId="0" applyFont="1" applyNumberFormat="1"/>
    <xf borderId="1" fillId="0" fontId="1" numFmtId="164" xfId="0" applyBorder="1" applyFont="1" applyNumberFormat="1"/>
    <xf borderId="1" fillId="0" fontId="1" numFmtId="0" xfId="0" applyBorder="1" applyFont="1"/>
    <xf borderId="0" fillId="0" fontId="1" numFmtId="165" xfId="0" applyFont="1" applyNumberFormat="1"/>
    <xf borderId="0" fillId="0" fontId="1" numFmtId="0" xfId="0" applyFont="1"/>
    <xf borderId="1" fillId="0" fontId="1" numFmtId="165" xfId="0" applyBorder="1" applyFont="1" applyNumberFormat="1"/>
    <xf borderId="0" fillId="0" fontId="3" numFmtId="0" xfId="0" applyFont="1"/>
    <xf borderId="2" fillId="0" fontId="1" numFmtId="165" xfId="0" applyBorder="1" applyFont="1" applyNumberFormat="1"/>
    <xf borderId="2" fillId="0" fontId="1" numFmtId="0" xfId="0" applyBorder="1" applyFont="1"/>
    <xf borderId="0" fillId="0" fontId="2" numFmtId="165" xfId="0" applyFont="1" applyNumberFormat="1"/>
    <xf borderId="0" fillId="0" fontId="1" numFmtId="2" xfId="0" applyFont="1" applyNumberFormat="1"/>
    <xf borderId="3" fillId="0" fontId="1" numFmtId="165" xfId="0" applyBorder="1" applyFont="1" applyNumberFormat="1"/>
    <xf borderId="3" fillId="0" fontId="1" numFmtId="0" xfId="0" applyBorder="1" applyFont="1"/>
    <xf borderId="0" fillId="0" fontId="4" numFmtId="0" xfId="0" applyFont="1"/>
    <xf borderId="0" fillId="0" fontId="3" numFmtId="166" xfId="0" applyFont="1" applyNumberFormat="1"/>
    <xf borderId="0" fillId="0" fontId="4" numFmtId="166" xfId="0" applyFont="1" applyNumberFormat="1"/>
    <xf borderId="0" fillId="0" fontId="1" numFmtId="166" xfId="0" applyFont="1" applyNumberFormat="1"/>
    <xf borderId="0" fillId="0" fontId="5" numFmtId="166" xfId="0" applyFont="1" applyNumberFormat="1"/>
    <xf borderId="0" fillId="0" fontId="5" numFmtId="0" xfId="0" applyFont="1"/>
    <xf borderId="0" fillId="0" fontId="6" numFmtId="0" xfId="0" applyFont="1"/>
    <xf borderId="0" fillId="0" fontId="6" numFmtId="166" xfId="0" applyFont="1" applyNumberFormat="1"/>
    <xf borderId="0" fillId="0" fontId="7" numFmtId="0" xfId="0" applyFont="1"/>
    <xf borderId="0" fillId="0" fontId="8" numFmtId="0" xfId="0" applyFont="1"/>
    <xf borderId="0" fillId="0" fontId="9" numFmtId="0" xfId="0" applyFont="1"/>
    <xf borderId="1" fillId="0" fontId="10" numFmtId="0" xfId="0" applyAlignment="1" applyBorder="1" applyFont="1">
      <alignment horizontal="right"/>
    </xf>
    <xf borderId="0" fillId="0" fontId="10" numFmtId="0" xfId="0" applyFont="1"/>
    <xf borderId="0" fillId="0" fontId="11" numFmtId="0" xfId="0" applyFont="1"/>
    <xf borderId="4" fillId="2" fontId="12" numFmtId="0" xfId="0" applyBorder="1" applyFill="1" applyFont="1"/>
    <xf borderId="0" fillId="0" fontId="13" numFmtId="166" xfId="0" applyAlignment="1" applyFont="1" applyNumberFormat="1">
      <alignment horizontal="right"/>
    </xf>
    <xf borderId="0" fillId="0" fontId="13" numFmtId="3" xfId="0" applyAlignment="1" applyFont="1" applyNumberFormat="1">
      <alignment horizontal="right"/>
    </xf>
    <xf borderId="0" fillId="0" fontId="14" numFmtId="0" xfId="0" applyAlignment="1" applyFont="1">
      <alignment horizontal="right"/>
    </xf>
    <xf borderId="0" fillId="0" fontId="14" numFmtId="166" xfId="0" applyAlignment="1" applyFont="1" applyNumberFormat="1">
      <alignment horizontal="right"/>
    </xf>
    <xf borderId="0" fillId="0" fontId="12" numFmtId="0" xfId="0" applyFont="1"/>
    <xf borderId="1" fillId="0" fontId="13" numFmtId="166" xfId="0" applyAlignment="1" applyBorder="1" applyFont="1" applyNumberFormat="1">
      <alignment horizontal="right"/>
    </xf>
    <xf borderId="1" fillId="0" fontId="13" numFmtId="3" xfId="0" applyAlignment="1" applyBorder="1" applyFont="1" applyNumberFormat="1">
      <alignment horizontal="right"/>
    </xf>
    <xf borderId="0" fillId="0" fontId="8" numFmtId="166" xfId="0" applyFont="1" applyNumberFormat="1"/>
    <xf borderId="0" fillId="0" fontId="8" numFmtId="3" xfId="0" applyFont="1" applyNumberFormat="1"/>
    <xf borderId="0" fillId="0" fontId="15" numFmtId="0" xfId="0" applyFont="1"/>
    <xf borderId="0" fillId="0" fontId="15" numFmtId="166" xfId="0" applyFont="1" applyNumberFormat="1"/>
    <xf borderId="5" fillId="0" fontId="13" numFmtId="166" xfId="0" applyAlignment="1" applyBorder="1" applyFont="1" applyNumberFormat="1">
      <alignment horizontal="right"/>
    </xf>
    <xf borderId="5" fillId="0" fontId="13" numFmtId="3" xfId="0" applyAlignment="1" applyBorder="1" applyFont="1" applyNumberFormat="1">
      <alignment horizontal="right"/>
    </xf>
    <xf borderId="0" fillId="0" fontId="16" numFmtId="0" xfId="0" applyFont="1"/>
    <xf borderId="0" fillId="0" fontId="17" numFmtId="0" xfId="0" applyFont="1"/>
    <xf borderId="0" fillId="0" fontId="18" numFmtId="0" xfId="0" applyFont="1"/>
    <xf borderId="0" fillId="0" fontId="19" numFmtId="0" xfId="0" applyFont="1"/>
    <xf borderId="0" fillId="0" fontId="20" numFmtId="0" xfId="0" applyFont="1"/>
    <xf borderId="0" fillId="0" fontId="20" numFmtId="3" xfId="0" applyFont="1" applyNumberFormat="1"/>
    <xf borderId="0" fillId="0" fontId="21" numFmtId="0" xfId="0" applyFont="1"/>
    <xf borderId="2" fillId="0" fontId="19" numFmtId="3" xfId="0" applyBorder="1" applyFont="1" applyNumberFormat="1"/>
    <xf borderId="3" fillId="0" fontId="19" numFmtId="3" xfId="0" applyBorder="1" applyFont="1" applyNumberFormat="1"/>
    <xf borderId="0" fillId="0" fontId="22" numFmtId="0" xfId="0" applyFont="1"/>
    <xf quotePrefix="1" borderId="0" fillId="0" fontId="22" numFmtId="17" xfId="0" applyFont="1" applyNumberFormat="1"/>
    <xf borderId="0" fillId="0" fontId="23" numFmtId="0" xfId="0" applyAlignment="1" applyFont="1">
      <alignment horizontal="center"/>
    </xf>
    <xf borderId="0" fillId="0" fontId="1" numFmtId="167" xfId="0" applyFont="1" applyNumberFormat="1"/>
    <xf borderId="2" fillId="0" fontId="1" numFmtId="167" xfId="0" applyBorder="1" applyFont="1" applyNumberFormat="1"/>
    <xf borderId="2" fillId="0" fontId="1" numFmtId="164" xfId="0" applyBorder="1" applyFont="1" applyNumberFormat="1"/>
    <xf borderId="1" fillId="0" fontId="1" numFmtId="167" xfId="0" applyBorder="1" applyFont="1" applyNumberFormat="1"/>
    <xf borderId="3" fillId="0" fontId="1" numFmtId="168" xfId="0" applyBorder="1" applyFont="1" applyNumberFormat="1"/>
    <xf borderId="3" fillId="0" fontId="1" numFmtId="167" xfId="0" applyBorder="1" applyFont="1" applyNumberFormat="1"/>
    <xf quotePrefix="1" borderId="0" fillId="0" fontId="1" numFmtId="0" xfId="0" applyFont="1"/>
    <xf borderId="0" fillId="0" fontId="24" numFmtId="14" xfId="0" applyAlignment="1" applyFont="1" applyNumberFormat="1">
      <alignment horizontal="center"/>
    </xf>
    <xf borderId="0" fillId="0" fontId="25" numFmtId="165" xfId="0" applyFont="1" applyNumberFormat="1"/>
    <xf borderId="0" fillId="0" fontId="22" numFmtId="166" xfId="0" applyFont="1" applyNumberFormat="1"/>
    <xf borderId="0" fillId="0" fontId="26" numFmtId="0" xfId="0" applyAlignment="1" applyFont="1">
      <alignment horizontal="center"/>
    </xf>
    <xf borderId="0" fillId="0" fontId="27" numFmtId="0" xfId="0" applyFont="1"/>
    <xf borderId="0" fillId="0" fontId="28" numFmtId="0" xfId="0" applyAlignment="1" applyFont="1">
      <alignment horizontal="center" shrinkToFit="0" wrapText="1"/>
    </xf>
    <xf borderId="1" fillId="0" fontId="29" numFmtId="0" xfId="0" applyAlignment="1" applyBorder="1" applyFont="1">
      <alignment horizontal="left" shrinkToFit="0" wrapText="1"/>
    </xf>
    <xf borderId="1" fillId="0" fontId="29" numFmtId="0" xfId="0" applyAlignment="1" applyBorder="1" applyFont="1">
      <alignment horizontal="right" shrinkToFit="0" wrapText="1"/>
    </xf>
    <xf borderId="6" fillId="0" fontId="29" numFmtId="0" xfId="0" applyAlignment="1" applyBorder="1" applyFont="1">
      <alignment horizontal="right" shrinkToFit="0" wrapText="1"/>
    </xf>
    <xf borderId="0" fillId="0" fontId="30" numFmtId="0" xfId="0" applyAlignment="1" applyFont="1">
      <alignment horizontal="left" shrinkToFit="0" wrapText="1"/>
    </xf>
    <xf borderId="0" fillId="0" fontId="30" numFmtId="169" xfId="0" applyAlignment="1" applyFont="1" applyNumberFormat="1">
      <alignment horizontal="right" shrinkToFit="0" wrapText="1"/>
    </xf>
    <xf borderId="7" fillId="0" fontId="30" numFmtId="169" xfId="0" applyAlignment="1" applyBorder="1" applyFont="1" applyNumberFormat="1">
      <alignment horizontal="right" shrinkToFit="0" wrapText="1"/>
    </xf>
    <xf borderId="8" fillId="0" fontId="30" numFmtId="169" xfId="0" applyAlignment="1" applyBorder="1" applyFont="1" applyNumberFormat="1">
      <alignment horizontal="right" shrinkToFit="0" wrapText="1"/>
    </xf>
    <xf borderId="5" fillId="0" fontId="30" numFmtId="169" xfId="0" applyAlignment="1" applyBorder="1" applyFont="1" applyNumberFormat="1">
      <alignment horizontal="right" shrinkToFit="0" wrapText="1"/>
    </xf>
    <xf borderId="9" fillId="0" fontId="30" numFmtId="169" xfId="0" applyAlignment="1" applyBorder="1" applyFont="1" applyNumberFormat="1">
      <alignment horizontal="right" shrinkToFit="0" wrapText="1"/>
    </xf>
    <xf borderId="0" fillId="0" fontId="31" numFmtId="0" xfId="0" applyFont="1"/>
    <xf borderId="0" fillId="0" fontId="29" numFmtId="0" xfId="0" applyAlignment="1" applyFont="1">
      <alignment horizontal="right"/>
    </xf>
    <xf borderId="0" fillId="0" fontId="29" numFmtId="168" xfId="0" applyFont="1" applyNumberFormat="1"/>
    <xf borderId="10" fillId="0" fontId="29" numFmtId="168" xfId="0" applyBorder="1" applyFont="1" applyNumberFormat="1"/>
    <xf borderId="11" fillId="0" fontId="29" numFmtId="0" xfId="0" applyAlignment="1" applyBorder="1" applyFont="1">
      <alignment horizontal="right" shrinkToFit="0" wrapText="1"/>
    </xf>
    <xf borderId="10" fillId="0" fontId="30" numFmtId="169" xfId="0" applyAlignment="1" applyBorder="1" applyFont="1" applyNumberFormat="1">
      <alignment horizontal="right" shrinkToFit="0" wrapText="1"/>
    </xf>
    <xf borderId="4" fillId="3" fontId="30" numFmtId="169" xfId="0" applyAlignment="1" applyBorder="1" applyFill="1" applyFont="1" applyNumberFormat="1">
      <alignment horizontal="right" shrinkToFit="0" wrapText="1"/>
    </xf>
    <xf borderId="12" fillId="0" fontId="30" numFmtId="169" xfId="0" applyAlignment="1" applyBorder="1" applyFont="1" applyNumberFormat="1">
      <alignment horizontal="right" shrinkToFit="0" wrapText="1"/>
    </xf>
    <xf borderId="0" fillId="0" fontId="32" numFmtId="0" xfId="0" applyAlignment="1" applyFont="1">
      <alignment horizontal="right"/>
    </xf>
    <xf borderId="0" fillId="0" fontId="32" numFmtId="168" xfId="0" applyFont="1" applyNumberFormat="1"/>
    <xf borderId="10" fillId="0" fontId="32" numFmtId="168" xfId="0" applyBorder="1" applyFont="1" applyNumberFormat="1"/>
    <xf borderId="0" fillId="0" fontId="33" numFmtId="168" xfId="0" applyFont="1" applyNumberFormat="1"/>
    <xf borderId="0" fillId="0" fontId="34" numFmtId="0" xfId="0" applyFont="1"/>
    <xf borderId="0" fillId="0" fontId="35" numFmtId="0" xfId="0" applyFont="1"/>
    <xf borderId="1" fillId="0" fontId="27" numFmtId="0" xfId="0" applyBorder="1" applyFont="1"/>
    <xf borderId="0" fillId="0" fontId="36" numFmtId="0" xfId="0" applyFont="1"/>
    <xf borderId="0" fillId="0" fontId="8" numFmtId="4" xfId="0" applyFont="1" applyNumberFormat="1"/>
    <xf borderId="13" fillId="0" fontId="37" numFmtId="4" xfId="0" applyBorder="1" applyFont="1" applyNumberFormat="1"/>
    <xf borderId="0" fillId="0" fontId="37" numFmtId="39" xfId="0" applyFont="1" applyNumberFormat="1"/>
    <xf borderId="1" fillId="0" fontId="37" numFmtId="4" xfId="0" applyAlignment="1" applyBorder="1" applyFont="1" applyNumberFormat="1">
      <alignment horizontal="center"/>
    </xf>
    <xf borderId="0" fillId="0" fontId="38" numFmtId="39" xfId="0" applyFont="1" applyNumberFormat="1"/>
    <xf borderId="0" fillId="0" fontId="38" numFmtId="4" xfId="0" applyAlignment="1" applyFont="1" applyNumberFormat="1">
      <alignment horizontal="center"/>
    </xf>
    <xf borderId="0" fillId="0" fontId="37" numFmtId="39" xfId="0" applyAlignment="1" applyFont="1" applyNumberFormat="1">
      <alignment horizontal="right"/>
    </xf>
    <xf borderId="13" fillId="0" fontId="37" numFmtId="4" xfId="0" applyAlignment="1" applyBorder="1" applyFont="1" applyNumberFormat="1">
      <alignment horizontal="center"/>
    </xf>
    <xf borderId="0" fillId="0" fontId="37" numFmtId="4" xfId="0" applyAlignment="1" applyFont="1" applyNumberFormat="1">
      <alignment horizontal="center"/>
    </xf>
    <xf borderId="0" fillId="0" fontId="37" numFmtId="4" xfId="0" applyFont="1" applyNumberFormat="1"/>
    <xf borderId="0" fillId="0" fontId="38" numFmtId="4" xfId="0" applyFont="1" applyNumberFormat="1"/>
    <xf borderId="0" fillId="0" fontId="38" numFmtId="0" xfId="0" applyFont="1"/>
    <xf borderId="0" fillId="0" fontId="38" numFmtId="4" xfId="0" applyAlignment="1" applyFont="1" applyNumberFormat="1">
      <alignment horizontal="right"/>
    </xf>
    <xf borderId="1" fillId="0" fontId="38" numFmtId="4" xfId="0" applyBorder="1" applyFont="1" applyNumberFormat="1"/>
    <xf borderId="2" fillId="0" fontId="37" numFmtId="4" xfId="0" applyBorder="1" applyFont="1" applyNumberFormat="1"/>
    <xf borderId="0" fillId="0" fontId="1" numFmtId="39" xfId="0" applyFont="1" applyNumberFormat="1"/>
    <xf borderId="0" fillId="0" fontId="8" numFmtId="3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4" width="3.71"/>
    <col customWidth="1" min="5" max="5" width="23.0"/>
    <col customWidth="1" min="6" max="6" width="35.29"/>
    <col customWidth="1" min="7" max="7" width="11.14"/>
    <col customWidth="1" min="8" max="8" width="9.71"/>
    <col customWidth="1" min="9" max="9" width="8.86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2"/>
    </row>
    <row r="6">
      <c r="A6" s="2"/>
      <c r="G6" s="3" t="s">
        <v>4</v>
      </c>
      <c r="H6" s="3" t="s">
        <v>5</v>
      </c>
      <c r="I6" s="3" t="s">
        <v>6</v>
      </c>
    </row>
    <row r="7">
      <c r="G7" s="3">
        <v>2023.0</v>
      </c>
      <c r="H7" s="3">
        <v>2023.0</v>
      </c>
    </row>
    <row r="8">
      <c r="B8" s="3" t="s">
        <v>7</v>
      </c>
    </row>
    <row r="9">
      <c r="C9" s="3" t="s">
        <v>8</v>
      </c>
    </row>
    <row r="10">
      <c r="D10" s="3" t="s">
        <v>9</v>
      </c>
      <c r="G10" s="4">
        <v>0.0</v>
      </c>
      <c r="H10" s="3" t="s">
        <v>10</v>
      </c>
      <c r="I10" s="3" t="s">
        <v>11</v>
      </c>
    </row>
    <row r="11">
      <c r="D11" s="3" t="s">
        <v>12</v>
      </c>
      <c r="G11" s="4"/>
    </row>
    <row r="12">
      <c r="E12" s="3" t="s">
        <v>13</v>
      </c>
      <c r="G12" s="4">
        <v>500.0</v>
      </c>
    </row>
    <row r="13">
      <c r="E13" s="3" t="s">
        <v>14</v>
      </c>
      <c r="G13" s="5">
        <v>0.0</v>
      </c>
      <c r="H13" s="6"/>
    </row>
    <row r="14">
      <c r="D14" s="3" t="s">
        <v>15</v>
      </c>
      <c r="G14" s="7">
        <f t="shared" ref="G14:H14" si="1">SUM(G12:G13)</f>
        <v>500</v>
      </c>
      <c r="H14" s="7">
        <f t="shared" si="1"/>
        <v>0</v>
      </c>
    </row>
    <row r="16">
      <c r="D16" s="3" t="s">
        <v>16</v>
      </c>
    </row>
    <row r="17">
      <c r="E17" s="3" t="s">
        <v>17</v>
      </c>
      <c r="G17" s="7">
        <f>'Brian Kraft'!C9</f>
        <v>17547.72</v>
      </c>
    </row>
    <row r="18">
      <c r="E18" s="3" t="s">
        <v>18</v>
      </c>
      <c r="G18" s="7">
        <v>0.0</v>
      </c>
    </row>
    <row r="19">
      <c r="E19" s="3" t="s">
        <v>19</v>
      </c>
      <c r="G19" s="7">
        <f>'XC Champs Open Master'!D11</f>
        <v>1850</v>
      </c>
      <c r="I19" s="3" t="s">
        <v>20</v>
      </c>
    </row>
    <row r="20">
      <c r="E20" s="3" t="s">
        <v>21</v>
      </c>
      <c r="G20" s="7">
        <v>0.0</v>
      </c>
    </row>
    <row r="21" ht="15.75" customHeight="1">
      <c r="E21" s="3" t="s">
        <v>22</v>
      </c>
      <c r="G21" s="7">
        <f>'Indoor Series'!H9</f>
        <v>20000</v>
      </c>
    </row>
    <row r="22" ht="15.75" customHeight="1">
      <c r="E22" s="3" t="s">
        <v>23</v>
      </c>
      <c r="G22" s="7">
        <f>'Indoor Championship'!F13</f>
        <v>4300</v>
      </c>
    </row>
    <row r="23" ht="15.75" customHeight="1">
      <c r="E23" s="3" t="s">
        <v>24</v>
      </c>
      <c r="G23" s="7"/>
    </row>
    <row r="24" ht="15.75" customHeight="1">
      <c r="F24" s="3" t="s">
        <v>25</v>
      </c>
      <c r="G24" s="7">
        <v>500.0</v>
      </c>
    </row>
    <row r="25" ht="15.75" customHeight="1">
      <c r="F25" s="3" t="s">
        <v>17</v>
      </c>
      <c r="G25" s="7">
        <v>0.0</v>
      </c>
      <c r="I25" s="3" t="s">
        <v>26</v>
      </c>
    </row>
    <row r="26" ht="15.75" customHeight="1">
      <c r="F26" s="3" t="s">
        <v>27</v>
      </c>
      <c r="G26" s="7">
        <v>250.0</v>
      </c>
    </row>
    <row r="27" ht="15.75" customHeight="1">
      <c r="F27" s="3" t="s">
        <v>28</v>
      </c>
      <c r="G27" s="7">
        <v>500.0</v>
      </c>
    </row>
    <row r="28" ht="15.75" customHeight="1">
      <c r="F28" s="3" t="s">
        <v>29</v>
      </c>
      <c r="G28" s="7">
        <v>500.0</v>
      </c>
    </row>
    <row r="29" ht="15.75" customHeight="1">
      <c r="F29" s="3" t="s">
        <v>30</v>
      </c>
      <c r="G29" s="7">
        <v>300.0</v>
      </c>
    </row>
    <row r="30" ht="15.75" customHeight="1">
      <c r="F30" s="3" t="s">
        <v>31</v>
      </c>
      <c r="G30" s="7">
        <v>500.0</v>
      </c>
    </row>
    <row r="31" ht="15.75" customHeight="1">
      <c r="F31" s="3" t="s">
        <v>32</v>
      </c>
      <c r="G31" s="7">
        <v>1000.0</v>
      </c>
      <c r="H31" s="8"/>
    </row>
    <row r="32" ht="15.75" customHeight="1">
      <c r="F32" s="3" t="s">
        <v>33</v>
      </c>
      <c r="G32" s="7">
        <v>500.0</v>
      </c>
      <c r="H32" s="8"/>
    </row>
    <row r="33" ht="15.75" customHeight="1">
      <c r="F33" s="3" t="s">
        <v>34</v>
      </c>
      <c r="G33" s="9">
        <v>0.0</v>
      </c>
      <c r="H33" s="6"/>
    </row>
    <row r="34" ht="15.75" customHeight="1">
      <c r="F34" s="3" t="s">
        <v>35</v>
      </c>
      <c r="G34" s="7">
        <f>SUM(G25:G33)</f>
        <v>3550</v>
      </c>
    </row>
    <row r="35" ht="15.75" customHeight="1">
      <c r="G35" s="7"/>
    </row>
    <row r="36" ht="15.75" customHeight="1">
      <c r="E36" s="3" t="s">
        <v>36</v>
      </c>
      <c r="G36" s="7">
        <v>0.0</v>
      </c>
    </row>
    <row r="37" ht="15.75" customHeight="1">
      <c r="E37" s="3" t="s">
        <v>37</v>
      </c>
      <c r="G37" s="7">
        <f>'Open &amp; Masters'!B6</f>
        <v>1500</v>
      </c>
    </row>
    <row r="38" ht="15.75" customHeight="1">
      <c r="E38" s="10" t="s">
        <v>38</v>
      </c>
      <c r="G38" s="7">
        <v>0.0</v>
      </c>
      <c r="H38" s="3">
        <v>0.0</v>
      </c>
      <c r="I38" s="3" t="s">
        <v>39</v>
      </c>
    </row>
    <row r="39" ht="15.75" customHeight="1">
      <c r="E39" s="3" t="s">
        <v>40</v>
      </c>
      <c r="G39" s="7">
        <f>'JO Track Meet'!B8</f>
        <v>17825</v>
      </c>
    </row>
    <row r="40" ht="15.75" customHeight="1">
      <c r="E40" s="3" t="s">
        <v>41</v>
      </c>
      <c r="G40" s="7">
        <f>'Summer Outdoor Series'!Q8</f>
        <v>15000</v>
      </c>
    </row>
    <row r="41" ht="15.75" customHeight="1">
      <c r="E41" s="3" t="s">
        <v>42</v>
      </c>
      <c r="G41" s="9">
        <f>MUT!C7</f>
        <v>500</v>
      </c>
      <c r="H41" s="6"/>
    </row>
    <row r="42" ht="15.75" customHeight="1">
      <c r="D42" s="3" t="s">
        <v>43</v>
      </c>
      <c r="G42" s="7">
        <f>G41+G40+G39+G38+G37+G34+G22+G21+G20+G19+G18+G17</f>
        <v>82072.72</v>
      </c>
      <c r="H42" s="7">
        <f>H41+H40+H39+H38+H37+H33+H22+H21+H20+H19+H18+H17</f>
        <v>0</v>
      </c>
    </row>
    <row r="43" ht="15.75" customHeight="1"/>
    <row r="44" ht="15.75" customHeight="1">
      <c r="D44" s="3" t="s">
        <v>44</v>
      </c>
    </row>
    <row r="45" ht="15.75" customHeight="1">
      <c r="E45" s="3" t="s">
        <v>45</v>
      </c>
      <c r="G45" s="7">
        <v>500.0</v>
      </c>
      <c r="I45" s="3" t="s">
        <v>46</v>
      </c>
    </row>
    <row r="46" ht="15.75" customHeight="1">
      <c r="E46" s="3" t="s">
        <v>47</v>
      </c>
      <c r="G46" s="9">
        <v>23575.0</v>
      </c>
      <c r="H46" s="6"/>
    </row>
    <row r="47" ht="15.75" customHeight="1">
      <c r="D47" s="3" t="s">
        <v>48</v>
      </c>
      <c r="G47" s="7">
        <f t="shared" ref="G47:H47" si="2">SUM(G45:G46)</f>
        <v>24075</v>
      </c>
      <c r="H47" s="7">
        <f t="shared" si="2"/>
        <v>0</v>
      </c>
    </row>
    <row r="48" ht="15.75" customHeight="1"/>
    <row r="49" ht="15.75" customHeight="1">
      <c r="D49" s="3" t="s">
        <v>49</v>
      </c>
      <c r="G49" s="7">
        <v>2000.0</v>
      </c>
    </row>
    <row r="50" ht="15.75" customHeight="1"/>
    <row r="51" ht="15.75" customHeight="1">
      <c r="D51" s="3" t="s">
        <v>50</v>
      </c>
      <c r="G51" s="11">
        <f>G10+G14+G42+G47+G49</f>
        <v>108647.72</v>
      </c>
      <c r="H51" s="12"/>
    </row>
    <row r="52" ht="15.75" customHeight="1">
      <c r="G52" s="7"/>
    </row>
    <row r="53" ht="15.75" customHeight="1">
      <c r="G53" s="7"/>
    </row>
    <row r="54" ht="15.75" customHeight="1">
      <c r="D54" s="3" t="s">
        <v>51</v>
      </c>
      <c r="G54" s="7"/>
    </row>
    <row r="55" ht="15.75" customHeight="1">
      <c r="E55" s="3" t="s">
        <v>52</v>
      </c>
      <c r="G55" s="7">
        <v>10000.0</v>
      </c>
      <c r="I55" s="3" t="s">
        <v>53</v>
      </c>
    </row>
    <row r="56" ht="15.75" customHeight="1">
      <c r="E56" s="3" t="s">
        <v>54</v>
      </c>
      <c r="G56" s="7">
        <v>500.0</v>
      </c>
    </row>
    <row r="57" ht="15.75" customHeight="1">
      <c r="E57" s="3" t="s">
        <v>55</v>
      </c>
      <c r="G57" s="13"/>
    </row>
    <row r="58" ht="15.75" customHeight="1">
      <c r="E58" s="3" t="s">
        <v>9</v>
      </c>
      <c r="G58" s="13">
        <v>0.0</v>
      </c>
    </row>
    <row r="59" ht="15.75" customHeight="1">
      <c r="E59" s="3" t="s">
        <v>56</v>
      </c>
      <c r="G59" s="13">
        <v>2000.0</v>
      </c>
    </row>
    <row r="60" ht="15.75" customHeight="1">
      <c r="E60" s="3" t="s">
        <v>57</v>
      </c>
      <c r="G60" s="7"/>
    </row>
    <row r="61" ht="15.75" customHeight="1">
      <c r="F61" s="3" t="s">
        <v>17</v>
      </c>
      <c r="G61" s="7">
        <f>'Brian Kraft'!C34</f>
        <v>17339.58765</v>
      </c>
    </row>
    <row r="62" ht="15.75" customHeight="1">
      <c r="F62" s="3" t="s">
        <v>18</v>
      </c>
      <c r="G62" s="7">
        <v>0.0</v>
      </c>
      <c r="I62" s="3" t="s">
        <v>20</v>
      </c>
    </row>
    <row r="63" ht="15.75" customHeight="1">
      <c r="F63" s="3" t="s">
        <v>19</v>
      </c>
      <c r="G63" s="7">
        <f>'XC Champs Open Master'!D27</f>
        <v>1150.54</v>
      </c>
    </row>
    <row r="64" ht="15.75" customHeight="1">
      <c r="F64" s="3" t="s">
        <v>21</v>
      </c>
      <c r="G64" s="7">
        <v>0.0</v>
      </c>
    </row>
    <row r="65" ht="15.75" customHeight="1">
      <c r="F65" s="3" t="s">
        <v>22</v>
      </c>
      <c r="G65" s="7">
        <f>'Indoor Series'!H23</f>
        <v>22442</v>
      </c>
      <c r="H65" s="14"/>
    </row>
    <row r="66" ht="15.75" customHeight="1">
      <c r="F66" s="3" t="s">
        <v>23</v>
      </c>
      <c r="G66" s="7">
        <f>'Indoor Championship'!F32</f>
        <v>10064</v>
      </c>
    </row>
    <row r="67" ht="15.75" customHeight="1">
      <c r="F67" s="3" t="s">
        <v>36</v>
      </c>
      <c r="G67" s="7">
        <v>1000.0</v>
      </c>
    </row>
    <row r="68" ht="15.75" customHeight="1">
      <c r="F68" s="3" t="s">
        <v>37</v>
      </c>
      <c r="G68" s="7">
        <f>'Open &amp; Masters'!B14</f>
        <v>2500</v>
      </c>
      <c r="H68" s="7">
        <v>0.0</v>
      </c>
    </row>
    <row r="69" ht="15.75" customHeight="1">
      <c r="F69" s="3" t="s">
        <v>38</v>
      </c>
      <c r="G69" s="7">
        <v>0.0</v>
      </c>
    </row>
    <row r="70" ht="15.75" customHeight="1">
      <c r="F70" s="3" t="s">
        <v>40</v>
      </c>
      <c r="G70" s="7">
        <f>'JO Track Meet'!B23</f>
        <v>18025</v>
      </c>
    </row>
    <row r="71" ht="15.75" customHeight="1">
      <c r="F71" s="3" t="s">
        <v>41</v>
      </c>
      <c r="G71" s="7">
        <f>'Summer Outdoor Series'!Q22</f>
        <v>14490</v>
      </c>
    </row>
    <row r="72" ht="15.75" customHeight="1">
      <c r="F72" s="3" t="s">
        <v>42</v>
      </c>
      <c r="G72" s="9">
        <f>MUT!C26</f>
        <v>1500</v>
      </c>
      <c r="H72" s="9"/>
    </row>
    <row r="73" ht="15.75" customHeight="1">
      <c r="E73" s="3" t="s">
        <v>58</v>
      </c>
      <c r="G73" s="7">
        <f>SUM(G61:G72)</f>
        <v>88511.12765</v>
      </c>
      <c r="H73" s="7">
        <f>SUM(H60:H72)</f>
        <v>0</v>
      </c>
    </row>
    <row r="74" ht="15.75" customHeight="1">
      <c r="G74" s="7"/>
    </row>
    <row r="75" ht="15.75" customHeight="1">
      <c r="E75" s="3" t="s">
        <v>59</v>
      </c>
      <c r="G75" s="13">
        <v>3000.0</v>
      </c>
    </row>
    <row r="76" ht="15.75" customHeight="1">
      <c r="G76" s="7"/>
    </row>
    <row r="77" ht="15.75" customHeight="1">
      <c r="E77" s="3" t="s">
        <v>60</v>
      </c>
      <c r="G77" s="7">
        <f>-HOF!B14</f>
        <v>20</v>
      </c>
    </row>
    <row r="78" ht="15.75" customHeight="1">
      <c r="G78" s="7"/>
    </row>
    <row r="79" ht="15.75" customHeight="1">
      <c r="E79" s="3" t="s">
        <v>61</v>
      </c>
      <c r="G79" s="9">
        <v>257.0</v>
      </c>
      <c r="H79" s="6"/>
    </row>
    <row r="80" ht="15.75" customHeight="1">
      <c r="E80" s="3" t="s">
        <v>62</v>
      </c>
      <c r="G80" s="7">
        <f>SUM(G79)</f>
        <v>257</v>
      </c>
    </row>
    <row r="81" ht="15.75" customHeight="1"/>
    <row r="82" ht="15.75" customHeight="1">
      <c r="E82" s="3" t="s">
        <v>24</v>
      </c>
      <c r="G82" s="7"/>
    </row>
    <row r="83" ht="15.75" customHeight="1">
      <c r="F83" s="3" t="s">
        <v>25</v>
      </c>
      <c r="G83" s="7">
        <v>1000.0</v>
      </c>
    </row>
    <row r="84" ht="15.75" customHeight="1">
      <c r="F84" s="3" t="s">
        <v>17</v>
      </c>
      <c r="G84" s="7">
        <v>0.0</v>
      </c>
    </row>
    <row r="85" ht="15.75" customHeight="1">
      <c r="F85" s="3" t="s">
        <v>63</v>
      </c>
      <c r="G85" s="7">
        <v>750.0</v>
      </c>
    </row>
    <row r="86" ht="15.75" customHeight="1">
      <c r="F86" s="3" t="s">
        <v>28</v>
      </c>
      <c r="G86" s="7">
        <v>1000.0</v>
      </c>
    </row>
    <row r="87" ht="15.75" customHeight="1">
      <c r="F87" s="3" t="s">
        <v>29</v>
      </c>
      <c r="G87" s="7">
        <v>1000.0</v>
      </c>
    </row>
    <row r="88" ht="15.75" customHeight="1">
      <c r="F88" s="3" t="s">
        <v>64</v>
      </c>
      <c r="G88" s="7">
        <v>800.0</v>
      </c>
    </row>
    <row r="89" ht="15.75" customHeight="1">
      <c r="F89" s="3" t="s">
        <v>31</v>
      </c>
      <c r="G89" s="7">
        <v>1000.0</v>
      </c>
    </row>
    <row r="90" ht="15.75" customHeight="1">
      <c r="F90" s="3" t="s">
        <v>32</v>
      </c>
      <c r="G90" s="7">
        <v>1500.0</v>
      </c>
    </row>
    <row r="91" ht="15.75" customHeight="1">
      <c r="F91" s="3" t="s">
        <v>33</v>
      </c>
      <c r="G91" s="7">
        <v>1000.0</v>
      </c>
    </row>
    <row r="92" ht="15.75" customHeight="1">
      <c r="F92" s="3" t="s">
        <v>65</v>
      </c>
      <c r="G92" s="9">
        <v>0.0</v>
      </c>
      <c r="H92" s="6"/>
    </row>
    <row r="93" ht="15.75" customHeight="1">
      <c r="E93" s="3" t="s">
        <v>35</v>
      </c>
      <c r="G93" s="7">
        <f>SUM(G84:G92)</f>
        <v>7050</v>
      </c>
      <c r="H93" s="8"/>
    </row>
    <row r="94" ht="15.75" customHeight="1">
      <c r="G94" s="7"/>
    </row>
    <row r="95" ht="15.75" customHeight="1">
      <c r="E95" s="3" t="s">
        <v>66</v>
      </c>
      <c r="G95" s="7"/>
    </row>
    <row r="96" ht="15.75" customHeight="1">
      <c r="F96" s="3" t="s">
        <v>67</v>
      </c>
      <c r="G96" s="7">
        <v>1224.0</v>
      </c>
    </row>
    <row r="97" ht="15.75" customHeight="1">
      <c r="F97" s="3" t="s">
        <v>68</v>
      </c>
      <c r="G97" s="9">
        <v>16000.0</v>
      </c>
      <c r="H97" s="6"/>
    </row>
    <row r="98" ht="15.75" customHeight="1">
      <c r="E98" s="3" t="s">
        <v>69</v>
      </c>
      <c r="G98" s="7">
        <f>SUM(G96:G97)</f>
        <v>17224</v>
      </c>
    </row>
    <row r="99" ht="15.75" customHeight="1">
      <c r="G99" s="7"/>
    </row>
    <row r="100" ht="15.75" customHeight="1">
      <c r="E100" s="3" t="s">
        <v>70</v>
      </c>
      <c r="G100" s="7"/>
    </row>
    <row r="101" ht="15.75" customHeight="1">
      <c r="E101" s="3" t="s">
        <v>71</v>
      </c>
      <c r="G101" s="13">
        <v>0.0</v>
      </c>
    </row>
    <row r="102" ht="15.75" customHeight="1">
      <c r="G102" s="7"/>
    </row>
    <row r="103" ht="15.75" customHeight="1">
      <c r="E103" s="3" t="s">
        <v>72</v>
      </c>
      <c r="G103" s="7">
        <f>Officials!B6</f>
        <v>500</v>
      </c>
    </row>
    <row r="104" ht="15.75" customHeight="1">
      <c r="E104" s="3" t="s">
        <v>73</v>
      </c>
      <c r="G104" s="7"/>
    </row>
    <row r="105" ht="15.75" customHeight="1">
      <c r="F105" s="3" t="s">
        <v>74</v>
      </c>
      <c r="G105" s="13">
        <v>1500.0</v>
      </c>
    </row>
    <row r="106" ht="15.75" customHeight="1">
      <c r="F106" s="3" t="s">
        <v>75</v>
      </c>
      <c r="G106" s="13">
        <v>0.0</v>
      </c>
    </row>
    <row r="107" ht="15.75" customHeight="1">
      <c r="F107" s="3" t="s">
        <v>76</v>
      </c>
      <c r="G107" s="13">
        <v>0.0</v>
      </c>
    </row>
    <row r="108" ht="15.75" customHeight="1">
      <c r="F108" s="3" t="s">
        <v>77</v>
      </c>
      <c r="G108" s="7">
        <v>500.0</v>
      </c>
    </row>
    <row r="109" ht="15.75" customHeight="1">
      <c r="F109" s="3" t="s">
        <v>78</v>
      </c>
      <c r="G109" s="13">
        <v>0.0</v>
      </c>
    </row>
    <row r="110" ht="15.75" customHeight="1">
      <c r="F110" s="3" t="s">
        <v>79</v>
      </c>
      <c r="G110" s="9">
        <v>150.0</v>
      </c>
      <c r="H110" s="6"/>
    </row>
    <row r="111" ht="15.75" customHeight="1">
      <c r="E111" s="3" t="s">
        <v>80</v>
      </c>
      <c r="G111" s="13">
        <f>SUM(G105:G110)</f>
        <v>2150</v>
      </c>
    </row>
    <row r="112" ht="15.75" customHeight="1">
      <c r="G112" s="7"/>
    </row>
    <row r="113" ht="15.75" customHeight="1">
      <c r="E113" s="3" t="s">
        <v>81</v>
      </c>
      <c r="G113" s="13">
        <v>100.0</v>
      </c>
    </row>
    <row r="114" ht="15.75" customHeight="1">
      <c r="E114" s="3" t="s">
        <v>82</v>
      </c>
      <c r="G114" s="7"/>
    </row>
    <row r="115" ht="15.75" customHeight="1">
      <c r="E115" s="3" t="s">
        <v>83</v>
      </c>
      <c r="G115" s="7">
        <f>176.5*12</f>
        <v>2118</v>
      </c>
      <c r="H115" s="6"/>
    </row>
    <row r="116" ht="15.75" customHeight="1">
      <c r="D116" s="3" t="s">
        <v>84</v>
      </c>
      <c r="G116" s="11">
        <f>G115+G113+G111+G103+G101+G98+G93+G80+G75+G73</f>
        <v>120910.1277</v>
      </c>
      <c r="H116" s="12"/>
    </row>
    <row r="117" ht="15.75" customHeight="1">
      <c r="G117" s="7"/>
    </row>
    <row r="118" ht="15.75" customHeight="1">
      <c r="C118" s="3" t="s">
        <v>85</v>
      </c>
      <c r="G118" s="15">
        <f>G51-G116</f>
        <v>-12262.40765</v>
      </c>
      <c r="H118" s="16"/>
    </row>
    <row r="119" ht="15.75" customHeight="1">
      <c r="G119" s="7"/>
    </row>
    <row r="120" ht="15.75" customHeight="1">
      <c r="C120" s="3" t="s">
        <v>86</v>
      </c>
      <c r="G120" s="7"/>
    </row>
    <row r="121" ht="15.75" customHeight="1">
      <c r="D121" s="3" t="s">
        <v>87</v>
      </c>
      <c r="G121" s="7"/>
    </row>
    <row r="122" ht="15.75" customHeight="1">
      <c r="E122" s="3" t="s">
        <v>88</v>
      </c>
      <c r="G122" s="13">
        <v>100.0</v>
      </c>
      <c r="H122" s="6"/>
    </row>
    <row r="123" ht="15.75" customHeight="1">
      <c r="D123" s="3" t="s">
        <v>89</v>
      </c>
      <c r="G123" s="7">
        <f>SUM(G122)</f>
        <v>100</v>
      </c>
      <c r="H123" s="12"/>
    </row>
    <row r="124" ht="15.75" customHeight="1">
      <c r="C124" s="3" t="s">
        <v>90</v>
      </c>
      <c r="G124" s="11">
        <f>G123</f>
        <v>100</v>
      </c>
      <c r="H124" s="12"/>
    </row>
    <row r="125" ht="15.75" customHeight="1">
      <c r="G125" s="7"/>
    </row>
    <row r="126" ht="15.75" customHeight="1">
      <c r="B126" s="3" t="s">
        <v>91</v>
      </c>
      <c r="G126" s="15">
        <f>G118+G124</f>
        <v>-12162.40765</v>
      </c>
      <c r="H126" s="16"/>
    </row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4:F4"/>
  </mergeCells>
  <printOptions/>
  <pageMargins bottom="0.75" footer="0.0" header="0.0" left="0.7" right="0.7" top="0.75"/>
  <pageSetup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0"/>
    <col customWidth="1" min="2" max="2" width="4.14"/>
    <col customWidth="1" min="3" max="6" width="10.86"/>
  </cols>
  <sheetData>
    <row r="1">
      <c r="A1" s="91" t="s">
        <v>287</v>
      </c>
      <c r="B1" s="91"/>
      <c r="C1" s="91"/>
    </row>
    <row r="2">
      <c r="A2" s="92" t="s">
        <v>120</v>
      </c>
      <c r="B2" s="68"/>
      <c r="C2" s="68"/>
    </row>
    <row r="3">
      <c r="A3" s="68" t="s">
        <v>288</v>
      </c>
      <c r="B3" s="68"/>
      <c r="C3" s="68">
        <v>500.0</v>
      </c>
    </row>
    <row r="4">
      <c r="A4" s="68" t="s">
        <v>289</v>
      </c>
      <c r="B4" s="68"/>
      <c r="C4" s="68"/>
    </row>
    <row r="5">
      <c r="A5" s="68" t="s">
        <v>290</v>
      </c>
      <c r="B5" s="68"/>
      <c r="C5" s="68"/>
    </row>
    <row r="6">
      <c r="A6" s="93" t="s">
        <v>291</v>
      </c>
      <c r="B6" s="93"/>
      <c r="C6" s="93"/>
    </row>
    <row r="7">
      <c r="A7" s="68" t="s">
        <v>292</v>
      </c>
      <c r="B7" s="68"/>
      <c r="C7" s="68">
        <f>SUM(C3:C6)</f>
        <v>500</v>
      </c>
    </row>
    <row r="8">
      <c r="A8" s="68"/>
      <c r="B8" s="68"/>
      <c r="C8" s="68"/>
    </row>
    <row r="9">
      <c r="A9" s="92" t="s">
        <v>106</v>
      </c>
      <c r="B9" s="68"/>
      <c r="C9" s="68"/>
    </row>
    <row r="10">
      <c r="A10" s="68" t="s">
        <v>289</v>
      </c>
      <c r="B10" s="68"/>
      <c r="C10" s="68"/>
    </row>
    <row r="11">
      <c r="A11" s="68" t="s">
        <v>293</v>
      </c>
      <c r="B11" s="68"/>
      <c r="C11" s="68">
        <v>500.0</v>
      </c>
    </row>
    <row r="12">
      <c r="A12" s="68" t="s">
        <v>294</v>
      </c>
      <c r="B12" s="68">
        <v>125.0</v>
      </c>
      <c r="C12" s="68"/>
    </row>
    <row r="13">
      <c r="A13" s="68" t="s">
        <v>295</v>
      </c>
      <c r="B13" s="68">
        <v>125.0</v>
      </c>
      <c r="C13" s="68"/>
    </row>
    <row r="14">
      <c r="A14" s="68" t="s">
        <v>296</v>
      </c>
      <c r="B14" s="68">
        <v>125.0</v>
      </c>
      <c r="C14" s="68"/>
    </row>
    <row r="15">
      <c r="A15" s="68" t="s">
        <v>297</v>
      </c>
      <c r="B15" s="68">
        <v>125.0</v>
      </c>
      <c r="C15" s="68"/>
    </row>
    <row r="16">
      <c r="A16" s="68" t="s">
        <v>298</v>
      </c>
      <c r="B16" s="68"/>
      <c r="C16" s="68">
        <v>500.0</v>
      </c>
    </row>
    <row r="17">
      <c r="A17" s="68" t="s">
        <v>294</v>
      </c>
      <c r="B17" s="68">
        <v>125.0</v>
      </c>
      <c r="C17" s="68"/>
    </row>
    <row r="18">
      <c r="A18" s="68" t="s">
        <v>295</v>
      </c>
      <c r="B18" s="68">
        <v>125.0</v>
      </c>
      <c r="C18" s="68"/>
    </row>
    <row r="19">
      <c r="A19" s="68" t="s">
        <v>296</v>
      </c>
      <c r="B19" s="68">
        <v>125.0</v>
      </c>
      <c r="C19" s="68"/>
    </row>
    <row r="20">
      <c r="A20" s="68" t="s">
        <v>297</v>
      </c>
      <c r="B20" s="68">
        <v>125.0</v>
      </c>
      <c r="C20" s="68"/>
    </row>
    <row r="21" ht="15.75" customHeight="1">
      <c r="A21" s="68" t="s">
        <v>299</v>
      </c>
      <c r="B21" s="68"/>
      <c r="C21" s="68">
        <v>200.0</v>
      </c>
    </row>
    <row r="22" ht="15.75" customHeight="1">
      <c r="A22" s="68" t="s">
        <v>300</v>
      </c>
      <c r="B22" s="68">
        <v>100.0</v>
      </c>
      <c r="C22" s="68"/>
    </row>
    <row r="23" ht="15.75" customHeight="1">
      <c r="A23" s="68" t="s">
        <v>301</v>
      </c>
      <c r="B23" s="68">
        <v>100.0</v>
      </c>
      <c r="C23" s="68"/>
    </row>
    <row r="24" ht="15.75" customHeight="1">
      <c r="A24" s="68" t="s">
        <v>302</v>
      </c>
      <c r="B24" s="68"/>
      <c r="C24" s="68">
        <v>100.0</v>
      </c>
    </row>
    <row r="25" ht="15.75" customHeight="1">
      <c r="A25" s="93" t="s">
        <v>303</v>
      </c>
      <c r="B25" s="93"/>
      <c r="C25" s="93">
        <v>200.0</v>
      </c>
    </row>
    <row r="26" ht="15.75" customHeight="1">
      <c r="A26" s="68" t="s">
        <v>304</v>
      </c>
      <c r="B26" s="68"/>
      <c r="C26" s="68">
        <f>SUM(C11:C25)</f>
        <v>1500</v>
      </c>
    </row>
    <row r="27" ht="15.75" customHeight="1">
      <c r="A27" s="68" t="s">
        <v>117</v>
      </c>
      <c r="B27" s="68"/>
      <c r="C27" s="68">
        <f>C7-C26</f>
        <v>-1000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86"/>
  </cols>
  <sheetData>
    <row r="1">
      <c r="A1" s="3" t="s">
        <v>72</v>
      </c>
    </row>
    <row r="3">
      <c r="A3" s="3" t="s">
        <v>305</v>
      </c>
      <c r="B3" s="3">
        <v>500.0</v>
      </c>
    </row>
    <row r="4">
      <c r="A4" s="3" t="s">
        <v>306</v>
      </c>
      <c r="B4" s="3">
        <v>0.0</v>
      </c>
    </row>
    <row r="5">
      <c r="A5" s="3" t="s">
        <v>130</v>
      </c>
      <c r="B5" s="6">
        <v>0.0</v>
      </c>
    </row>
    <row r="6">
      <c r="A6" s="3" t="s">
        <v>97</v>
      </c>
      <c r="B6" s="3">
        <f>SUM(B3:B5)</f>
        <v>500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>
      <c r="A1" s="10" t="s">
        <v>98</v>
      </c>
    </row>
    <row r="2">
      <c r="A2" s="10" t="s">
        <v>99</v>
      </c>
      <c r="B2" s="18">
        <v>1500.0</v>
      </c>
    </row>
    <row r="3">
      <c r="A3" s="10" t="s">
        <v>101</v>
      </c>
      <c r="B3" s="18">
        <v>0.0</v>
      </c>
    </row>
    <row r="4">
      <c r="A4" s="10" t="s">
        <v>102</v>
      </c>
      <c r="B4" s="18">
        <v>0.0</v>
      </c>
    </row>
    <row r="5">
      <c r="A5" s="10" t="s">
        <v>307</v>
      </c>
      <c r="B5" s="18">
        <v>0.0</v>
      </c>
    </row>
    <row r="6">
      <c r="A6" s="10" t="s">
        <v>50</v>
      </c>
      <c r="B6" s="21">
        <f>SUM(B2:B5)</f>
        <v>1500</v>
      </c>
    </row>
    <row r="8">
      <c r="A8" s="10" t="s">
        <v>106</v>
      </c>
    </row>
    <row r="9">
      <c r="A9" s="10" t="s">
        <v>107</v>
      </c>
      <c r="B9" s="18">
        <v>200.0</v>
      </c>
      <c r="C9" s="10" t="s">
        <v>308</v>
      </c>
    </row>
    <row r="10">
      <c r="A10" s="10" t="s">
        <v>108</v>
      </c>
      <c r="B10" s="18">
        <v>0.0</v>
      </c>
    </row>
    <row r="11">
      <c r="A11" s="10" t="s">
        <v>109</v>
      </c>
      <c r="B11" s="18">
        <v>900.0</v>
      </c>
    </row>
    <row r="12">
      <c r="A12" s="10" t="s">
        <v>110</v>
      </c>
      <c r="B12" s="18">
        <v>200.0</v>
      </c>
      <c r="C12" s="10" t="s">
        <v>309</v>
      </c>
    </row>
    <row r="13">
      <c r="A13" s="10" t="s">
        <v>72</v>
      </c>
      <c r="B13" s="18">
        <v>1200.0</v>
      </c>
    </row>
    <row r="14">
      <c r="A14" s="22" t="s">
        <v>84</v>
      </c>
      <c r="B14" s="21">
        <f>SUM(B9:B13)</f>
        <v>2500</v>
      </c>
    </row>
    <row r="16">
      <c r="A16" s="22" t="s">
        <v>117</v>
      </c>
      <c r="B16" s="21">
        <f>SUM(B6-B14)</f>
        <v>-1000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2" width="10.86"/>
    <col customWidth="1" min="3" max="3" width="10.29"/>
    <col customWidth="1" min="4" max="6" width="10.86"/>
  </cols>
  <sheetData>
    <row r="1">
      <c r="A1" s="94" t="s">
        <v>310</v>
      </c>
      <c r="B1" s="94">
        <v>2023.0</v>
      </c>
    </row>
    <row r="2">
      <c r="A2" s="10" t="s">
        <v>98</v>
      </c>
    </row>
    <row r="3">
      <c r="A3" s="10" t="s">
        <v>99</v>
      </c>
      <c r="B3" s="18">
        <v>10000.0</v>
      </c>
    </row>
    <row r="4">
      <c r="A4" s="10" t="s">
        <v>101</v>
      </c>
      <c r="B4" s="18">
        <v>0.0</v>
      </c>
    </row>
    <row r="5">
      <c r="A5" s="10" t="s">
        <v>102</v>
      </c>
      <c r="B5" s="18">
        <v>25.0</v>
      </c>
    </row>
    <row r="6">
      <c r="A6" s="10" t="s">
        <v>307</v>
      </c>
      <c r="B6" s="18">
        <v>6500.0</v>
      </c>
    </row>
    <row r="7">
      <c r="A7" s="10" t="s">
        <v>105</v>
      </c>
      <c r="B7" s="18">
        <v>1300.0</v>
      </c>
    </row>
    <row r="8">
      <c r="A8" s="10" t="s">
        <v>50</v>
      </c>
      <c r="B8" s="21">
        <f>SUM(B3:B7)</f>
        <v>17825</v>
      </c>
    </row>
    <row r="10">
      <c r="A10" s="10" t="s">
        <v>106</v>
      </c>
    </row>
    <row r="11">
      <c r="A11" s="10" t="s">
        <v>138</v>
      </c>
      <c r="B11" s="18">
        <v>370.0</v>
      </c>
    </row>
    <row r="12">
      <c r="A12" s="10" t="s">
        <v>107</v>
      </c>
      <c r="B12" s="18">
        <v>550.0</v>
      </c>
    </row>
    <row r="13">
      <c r="A13" s="10" t="s">
        <v>108</v>
      </c>
      <c r="B13" s="18">
        <v>1985.0</v>
      </c>
    </row>
    <row r="14">
      <c r="A14" s="10" t="s">
        <v>109</v>
      </c>
      <c r="B14" s="18">
        <v>3000.0</v>
      </c>
    </row>
    <row r="15">
      <c r="A15" s="10" t="s">
        <v>110</v>
      </c>
      <c r="B15" s="18">
        <v>1000.0</v>
      </c>
    </row>
    <row r="16">
      <c r="A16" s="10" t="s">
        <v>72</v>
      </c>
      <c r="B16" s="18">
        <v>6500.0</v>
      </c>
    </row>
    <row r="17">
      <c r="A17" s="10" t="s">
        <v>111</v>
      </c>
      <c r="B17" s="18">
        <v>850.0</v>
      </c>
    </row>
    <row r="18">
      <c r="A18" s="10" t="s">
        <v>112</v>
      </c>
      <c r="B18" s="18">
        <v>800.0</v>
      </c>
    </row>
    <row r="19">
      <c r="A19" s="10" t="s">
        <v>113</v>
      </c>
      <c r="B19" s="18">
        <v>800.0</v>
      </c>
    </row>
    <row r="20">
      <c r="A20" s="10" t="s">
        <v>114</v>
      </c>
      <c r="B20" s="18">
        <v>450.0</v>
      </c>
      <c r="C20" s="95"/>
    </row>
    <row r="21" ht="15.75" customHeight="1">
      <c r="A21" s="10" t="s">
        <v>311</v>
      </c>
      <c r="B21" s="18">
        <v>700.0</v>
      </c>
      <c r="C21" s="96"/>
    </row>
    <row r="22" ht="15.75" customHeight="1">
      <c r="A22" s="10" t="s">
        <v>116</v>
      </c>
      <c r="B22" s="18">
        <v>1020.0</v>
      </c>
    </row>
    <row r="23" ht="15.75" customHeight="1">
      <c r="A23" s="22" t="s">
        <v>84</v>
      </c>
      <c r="B23" s="21">
        <f>SUM(B11:B22)</f>
        <v>18025</v>
      </c>
    </row>
    <row r="24" ht="15.75" customHeight="1"/>
    <row r="25" ht="15.75" customHeight="1">
      <c r="A25" s="22" t="s">
        <v>117</v>
      </c>
      <c r="B25" s="21">
        <f>SUM(B8-B23)</f>
        <v>-200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6" width="10.86"/>
  </cols>
  <sheetData>
    <row r="1">
      <c r="A1" s="94" t="s">
        <v>38</v>
      </c>
      <c r="B1" s="94">
        <v>2021.0</v>
      </c>
    </row>
    <row r="2">
      <c r="A2" s="97"/>
    </row>
    <row r="3">
      <c r="A3" s="97" t="s">
        <v>120</v>
      </c>
      <c r="B3" s="98" t="s">
        <v>4</v>
      </c>
    </row>
    <row r="4">
      <c r="A4" s="99" t="s">
        <v>248</v>
      </c>
      <c r="B4" s="100">
        <v>20000.0</v>
      </c>
    </row>
    <row r="5">
      <c r="A5" s="99" t="s">
        <v>312</v>
      </c>
      <c r="B5" s="100">
        <v>3000.0</v>
      </c>
    </row>
    <row r="6">
      <c r="A6" s="99" t="s">
        <v>307</v>
      </c>
      <c r="B6" s="100">
        <v>7000.0</v>
      </c>
    </row>
    <row r="7">
      <c r="A7" s="101" t="s">
        <v>128</v>
      </c>
      <c r="B7" s="102">
        <f>SUM(B4:B6)</f>
        <v>30000</v>
      </c>
    </row>
    <row r="8">
      <c r="A8" s="97"/>
    </row>
    <row r="9">
      <c r="A9" s="97" t="s">
        <v>106</v>
      </c>
      <c r="B9" s="103" t="s">
        <v>4</v>
      </c>
    </row>
    <row r="10">
      <c r="A10" s="99"/>
      <c r="B10" s="104"/>
    </row>
    <row r="11">
      <c r="A11" s="99" t="s">
        <v>109</v>
      </c>
      <c r="B11" s="105">
        <v>7000.0</v>
      </c>
    </row>
    <row r="12">
      <c r="A12" s="106" t="s">
        <v>313</v>
      </c>
      <c r="B12" s="105">
        <v>2500.0</v>
      </c>
    </row>
    <row r="13">
      <c r="A13" s="106" t="s">
        <v>72</v>
      </c>
      <c r="B13" s="105">
        <v>10000.0</v>
      </c>
    </row>
    <row r="14">
      <c r="A14" s="106" t="s">
        <v>314</v>
      </c>
      <c r="B14" s="107">
        <v>2000.0</v>
      </c>
    </row>
    <row r="15">
      <c r="A15" s="106" t="s">
        <v>315</v>
      </c>
      <c r="B15" s="107">
        <v>1200.0</v>
      </c>
    </row>
    <row r="16">
      <c r="A16" s="106" t="s">
        <v>107</v>
      </c>
      <c r="B16" s="107">
        <v>720.0</v>
      </c>
    </row>
    <row r="17">
      <c r="A17" s="106" t="s">
        <v>316</v>
      </c>
      <c r="B17" s="107">
        <v>3500.0</v>
      </c>
    </row>
    <row r="18">
      <c r="A18" s="99" t="s">
        <v>317</v>
      </c>
      <c r="B18" s="105">
        <v>0.0</v>
      </c>
    </row>
    <row r="19">
      <c r="A19" s="99" t="s">
        <v>318</v>
      </c>
      <c r="B19" s="108">
        <v>2000.0</v>
      </c>
    </row>
    <row r="20">
      <c r="A20" s="101" t="s">
        <v>84</v>
      </c>
      <c r="B20" s="109">
        <f>SUM(B11:B19)</f>
        <v>28920</v>
      </c>
    </row>
    <row r="21" ht="15.75" customHeight="1">
      <c r="A21" s="110"/>
      <c r="B21" s="111"/>
      <c r="C21" s="95"/>
    </row>
    <row r="22" ht="15.75" customHeight="1">
      <c r="A22" s="101" t="s">
        <v>319</v>
      </c>
      <c r="B22" s="111"/>
      <c r="C22" s="96">
        <f>SUM(B7-B20)</f>
        <v>1080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10.71"/>
    <col customWidth="1" min="15" max="15" width="17.71"/>
    <col customWidth="1" min="16" max="18" width="10.71"/>
  </cols>
  <sheetData>
    <row r="1">
      <c r="B1" s="3" t="s">
        <v>92</v>
      </c>
      <c r="E1" s="3" t="s">
        <v>93</v>
      </c>
      <c r="G1" s="3" t="s">
        <v>94</v>
      </c>
      <c r="J1" s="3" t="s">
        <v>95</v>
      </c>
      <c r="M1" s="3" t="s">
        <v>96</v>
      </c>
      <c r="P1" s="3" t="s">
        <v>97</v>
      </c>
    </row>
    <row r="2">
      <c r="A2" s="10" t="s">
        <v>98</v>
      </c>
      <c r="D2" s="10" t="s">
        <v>98</v>
      </c>
      <c r="G2" s="17" t="s">
        <v>98</v>
      </c>
      <c r="H2" s="17"/>
      <c r="I2" s="17"/>
      <c r="J2" s="10" t="s">
        <v>98</v>
      </c>
      <c r="M2" s="10" t="s">
        <v>98</v>
      </c>
      <c r="P2" s="3" t="s">
        <v>8</v>
      </c>
    </row>
    <row r="3">
      <c r="A3" s="10" t="s">
        <v>99</v>
      </c>
      <c r="B3" s="18">
        <v>3000.0</v>
      </c>
      <c r="D3" s="10" t="s">
        <v>99</v>
      </c>
      <c r="E3" s="18">
        <v>3000.0</v>
      </c>
      <c r="G3" s="17" t="s">
        <v>99</v>
      </c>
      <c r="H3" s="19">
        <v>3000.0</v>
      </c>
      <c r="I3" s="17"/>
      <c r="J3" s="10" t="s">
        <v>99</v>
      </c>
      <c r="K3" s="18">
        <v>3000.0</v>
      </c>
      <c r="M3" s="10" t="s">
        <v>99</v>
      </c>
      <c r="N3" s="18">
        <v>3000.0</v>
      </c>
      <c r="O3" s="10" t="s">
        <v>100</v>
      </c>
      <c r="P3" s="10" t="s">
        <v>99</v>
      </c>
      <c r="Q3" s="20">
        <f t="shared" ref="Q3:Q8" si="1">N3+K3+H3+E3+B3</f>
        <v>15000</v>
      </c>
    </row>
    <row r="4">
      <c r="A4" s="10" t="s">
        <v>101</v>
      </c>
      <c r="B4" s="18">
        <v>0.0</v>
      </c>
      <c r="D4" s="10" t="s">
        <v>101</v>
      </c>
      <c r="E4" s="18">
        <v>0.0</v>
      </c>
      <c r="G4" s="17" t="s">
        <v>101</v>
      </c>
      <c r="H4" s="19">
        <v>0.0</v>
      </c>
      <c r="I4" s="17"/>
      <c r="J4" s="10" t="s">
        <v>101</v>
      </c>
      <c r="K4" s="18">
        <v>0.0</v>
      </c>
      <c r="M4" s="10" t="s">
        <v>101</v>
      </c>
      <c r="N4" s="18">
        <v>0.0</v>
      </c>
      <c r="P4" s="10" t="s">
        <v>101</v>
      </c>
      <c r="Q4" s="20">
        <f t="shared" si="1"/>
        <v>0</v>
      </c>
    </row>
    <row r="5">
      <c r="A5" s="10" t="s">
        <v>102</v>
      </c>
      <c r="B5" s="18">
        <v>0.0</v>
      </c>
      <c r="D5" s="10" t="s">
        <v>102</v>
      </c>
      <c r="E5" s="18">
        <v>0.0</v>
      </c>
      <c r="G5" s="17" t="s">
        <v>102</v>
      </c>
      <c r="H5" s="19">
        <v>0.0</v>
      </c>
      <c r="I5" s="17"/>
      <c r="J5" s="10" t="s">
        <v>102</v>
      </c>
      <c r="K5" s="18">
        <v>0.0</v>
      </c>
      <c r="M5" s="10" t="s">
        <v>102</v>
      </c>
      <c r="N5" s="18">
        <v>0.0</v>
      </c>
      <c r="P5" s="10" t="s">
        <v>102</v>
      </c>
      <c r="Q5" s="20">
        <f t="shared" si="1"/>
        <v>0</v>
      </c>
    </row>
    <row r="6">
      <c r="A6" s="10" t="s">
        <v>103</v>
      </c>
      <c r="B6" s="18">
        <v>0.0</v>
      </c>
      <c r="C6" s="10" t="s">
        <v>104</v>
      </c>
      <c r="D6" s="10" t="s">
        <v>103</v>
      </c>
      <c r="E6" s="18">
        <v>0.0</v>
      </c>
      <c r="F6" s="10" t="s">
        <v>104</v>
      </c>
      <c r="G6" s="17" t="s">
        <v>103</v>
      </c>
      <c r="H6" s="19">
        <v>0.0</v>
      </c>
      <c r="I6" s="17" t="s">
        <v>104</v>
      </c>
      <c r="J6" s="10" t="s">
        <v>103</v>
      </c>
      <c r="K6" s="18">
        <v>0.0</v>
      </c>
      <c r="M6" s="10" t="s">
        <v>103</v>
      </c>
      <c r="N6" s="18">
        <v>0.0</v>
      </c>
      <c r="O6" s="10" t="s">
        <v>104</v>
      </c>
      <c r="P6" s="10" t="s">
        <v>103</v>
      </c>
      <c r="Q6" s="20">
        <f t="shared" si="1"/>
        <v>0</v>
      </c>
    </row>
    <row r="7">
      <c r="A7" s="10" t="s">
        <v>105</v>
      </c>
      <c r="B7" s="18">
        <v>0.0</v>
      </c>
      <c r="C7" s="10" t="s">
        <v>104</v>
      </c>
      <c r="D7" s="10" t="s">
        <v>105</v>
      </c>
      <c r="E7" s="18">
        <v>0.0</v>
      </c>
      <c r="F7" s="10" t="s">
        <v>104</v>
      </c>
      <c r="G7" s="17" t="s">
        <v>105</v>
      </c>
      <c r="H7" s="19">
        <v>0.0</v>
      </c>
      <c r="I7" s="17" t="s">
        <v>104</v>
      </c>
      <c r="J7" s="10" t="s">
        <v>105</v>
      </c>
      <c r="K7" s="18">
        <v>0.0</v>
      </c>
      <c r="M7" s="10" t="s">
        <v>105</v>
      </c>
      <c r="N7" s="18">
        <v>0.0</v>
      </c>
      <c r="O7" s="10" t="s">
        <v>104</v>
      </c>
      <c r="P7" s="10" t="s">
        <v>105</v>
      </c>
      <c r="Q7" s="20">
        <f t="shared" si="1"/>
        <v>0</v>
      </c>
    </row>
    <row r="8">
      <c r="A8" s="10" t="s">
        <v>50</v>
      </c>
      <c r="B8" s="21">
        <f>SUM(B3:B7)</f>
        <v>3000</v>
      </c>
      <c r="D8" s="10" t="s">
        <v>50</v>
      </c>
      <c r="E8" s="21">
        <f>SUM(E3:E7)</f>
        <v>3000</v>
      </c>
      <c r="G8" s="17" t="s">
        <v>50</v>
      </c>
      <c r="H8" s="21">
        <f>SUM(H3:H7)</f>
        <v>3000</v>
      </c>
      <c r="I8" s="17"/>
      <c r="J8" s="10" t="s">
        <v>50</v>
      </c>
      <c r="K8" s="21">
        <f>SUM(K3:K7)</f>
        <v>3000</v>
      </c>
      <c r="M8" s="10" t="s">
        <v>50</v>
      </c>
      <c r="N8" s="21">
        <f>SUM(N3:N7)</f>
        <v>3000</v>
      </c>
      <c r="P8" s="10" t="s">
        <v>50</v>
      </c>
      <c r="Q8" s="20">
        <f t="shared" si="1"/>
        <v>15000</v>
      </c>
      <c r="R8" s="20"/>
    </row>
    <row r="9">
      <c r="G9" s="17"/>
      <c r="H9" s="17"/>
      <c r="I9" s="17"/>
      <c r="Q9" s="20"/>
    </row>
    <row r="10">
      <c r="A10" s="10" t="s">
        <v>106</v>
      </c>
      <c r="D10" s="10" t="s">
        <v>106</v>
      </c>
      <c r="G10" s="17" t="s">
        <v>106</v>
      </c>
      <c r="H10" s="17"/>
      <c r="I10" s="17"/>
      <c r="J10" s="10" t="s">
        <v>106</v>
      </c>
      <c r="M10" s="10" t="s">
        <v>106</v>
      </c>
      <c r="P10" s="10" t="s">
        <v>106</v>
      </c>
    </row>
    <row r="11">
      <c r="A11" s="10" t="s">
        <v>107</v>
      </c>
      <c r="B11" s="18">
        <v>160.0</v>
      </c>
      <c r="D11" s="10" t="s">
        <v>107</v>
      </c>
      <c r="E11" s="18">
        <v>160.0</v>
      </c>
      <c r="G11" s="17" t="s">
        <v>107</v>
      </c>
      <c r="H11" s="19">
        <v>140.0</v>
      </c>
      <c r="I11" s="17"/>
      <c r="J11" s="10" t="s">
        <v>107</v>
      </c>
      <c r="K11" s="18">
        <v>140.0</v>
      </c>
      <c r="M11" s="10" t="s">
        <v>107</v>
      </c>
      <c r="N11" s="18">
        <v>140.0</v>
      </c>
      <c r="P11" s="10" t="s">
        <v>107</v>
      </c>
      <c r="Q11" s="20">
        <f t="shared" ref="Q11:Q22" si="2">N11+K11+H11+E11+B11</f>
        <v>740</v>
      </c>
    </row>
    <row r="12">
      <c r="A12" s="10" t="s">
        <v>108</v>
      </c>
      <c r="B12" s="18">
        <v>250.0</v>
      </c>
      <c r="D12" s="10" t="s">
        <v>108</v>
      </c>
      <c r="E12" s="18">
        <v>250.0</v>
      </c>
      <c r="G12" s="17" t="s">
        <v>108</v>
      </c>
      <c r="H12" s="19">
        <v>250.0</v>
      </c>
      <c r="I12" s="17"/>
      <c r="J12" s="10" t="s">
        <v>108</v>
      </c>
      <c r="K12" s="18">
        <v>250.0</v>
      </c>
      <c r="M12" s="10" t="s">
        <v>108</v>
      </c>
      <c r="N12" s="18">
        <v>250.0</v>
      </c>
      <c r="P12" s="10" t="s">
        <v>108</v>
      </c>
      <c r="Q12" s="20">
        <f t="shared" si="2"/>
        <v>1250</v>
      </c>
    </row>
    <row r="13">
      <c r="A13" s="10" t="s">
        <v>109</v>
      </c>
      <c r="B13" s="18">
        <v>900.0</v>
      </c>
      <c r="D13" s="10" t="s">
        <v>109</v>
      </c>
      <c r="E13" s="18">
        <v>900.0</v>
      </c>
      <c r="G13" s="17" t="s">
        <v>109</v>
      </c>
      <c r="H13" s="19">
        <v>900.0</v>
      </c>
      <c r="I13" s="17"/>
      <c r="J13" s="10" t="s">
        <v>109</v>
      </c>
      <c r="K13" s="18">
        <v>900.0</v>
      </c>
      <c r="M13" s="10" t="s">
        <v>109</v>
      </c>
      <c r="N13" s="18">
        <v>900.0</v>
      </c>
      <c r="P13" s="10" t="s">
        <v>109</v>
      </c>
      <c r="Q13" s="20">
        <f t="shared" si="2"/>
        <v>4500</v>
      </c>
    </row>
    <row r="14">
      <c r="A14" s="10" t="s">
        <v>110</v>
      </c>
      <c r="B14" s="18">
        <v>100.0</v>
      </c>
      <c r="D14" s="10" t="s">
        <v>110</v>
      </c>
      <c r="E14" s="18">
        <v>100.0</v>
      </c>
      <c r="G14" s="17" t="s">
        <v>110</v>
      </c>
      <c r="H14" s="19">
        <v>100.0</v>
      </c>
      <c r="I14" s="17"/>
      <c r="J14" s="10" t="s">
        <v>110</v>
      </c>
      <c r="K14" s="18">
        <v>100.0</v>
      </c>
      <c r="M14" s="10" t="s">
        <v>110</v>
      </c>
      <c r="N14" s="18">
        <v>100.0</v>
      </c>
      <c r="P14" s="10" t="s">
        <v>110</v>
      </c>
      <c r="Q14" s="20">
        <f t="shared" si="2"/>
        <v>500</v>
      </c>
    </row>
    <row r="15">
      <c r="A15" s="10" t="s">
        <v>72</v>
      </c>
      <c r="B15" s="18">
        <v>1500.0</v>
      </c>
      <c r="D15" s="10" t="s">
        <v>72</v>
      </c>
      <c r="E15" s="18">
        <v>1500.0</v>
      </c>
      <c r="G15" s="17" t="s">
        <v>72</v>
      </c>
      <c r="H15" s="19">
        <v>1500.0</v>
      </c>
      <c r="I15" s="17"/>
      <c r="J15" s="10" t="s">
        <v>72</v>
      </c>
      <c r="K15" s="18">
        <v>1500.0</v>
      </c>
      <c r="M15" s="10" t="s">
        <v>72</v>
      </c>
      <c r="N15" s="18">
        <v>1500.0</v>
      </c>
      <c r="P15" s="10" t="s">
        <v>72</v>
      </c>
      <c r="Q15" s="20">
        <f t="shared" si="2"/>
        <v>7500</v>
      </c>
    </row>
    <row r="16">
      <c r="A16" s="10" t="s">
        <v>111</v>
      </c>
      <c r="B16" s="18">
        <v>0.0</v>
      </c>
      <c r="C16" s="10" t="s">
        <v>104</v>
      </c>
      <c r="D16" s="10" t="s">
        <v>111</v>
      </c>
      <c r="E16" s="18">
        <v>0.0</v>
      </c>
      <c r="F16" s="10" t="s">
        <v>104</v>
      </c>
      <c r="G16" s="17" t="s">
        <v>111</v>
      </c>
      <c r="H16" s="19">
        <v>0.0</v>
      </c>
      <c r="I16" s="17" t="s">
        <v>104</v>
      </c>
      <c r="J16" s="10" t="s">
        <v>111</v>
      </c>
      <c r="K16" s="18">
        <v>0.0</v>
      </c>
      <c r="M16" s="10" t="s">
        <v>111</v>
      </c>
      <c r="N16" s="18">
        <v>0.0</v>
      </c>
      <c r="O16" s="10" t="s">
        <v>104</v>
      </c>
      <c r="P16" s="10" t="s">
        <v>111</v>
      </c>
      <c r="Q16" s="20">
        <f t="shared" si="2"/>
        <v>0</v>
      </c>
    </row>
    <row r="17">
      <c r="A17" s="10" t="s">
        <v>112</v>
      </c>
      <c r="B17" s="18">
        <v>0.0</v>
      </c>
      <c r="C17" s="10" t="s">
        <v>104</v>
      </c>
      <c r="D17" s="10" t="s">
        <v>112</v>
      </c>
      <c r="E17" s="18">
        <v>0.0</v>
      </c>
      <c r="F17" s="10" t="s">
        <v>104</v>
      </c>
      <c r="G17" s="17" t="s">
        <v>112</v>
      </c>
      <c r="H17" s="19">
        <v>0.0</v>
      </c>
      <c r="I17" s="17" t="s">
        <v>104</v>
      </c>
      <c r="J17" s="10" t="s">
        <v>112</v>
      </c>
      <c r="K17" s="18">
        <v>0.0</v>
      </c>
      <c r="M17" s="10" t="s">
        <v>112</v>
      </c>
      <c r="N17" s="18">
        <v>0.0</v>
      </c>
      <c r="O17" s="10" t="s">
        <v>104</v>
      </c>
      <c r="P17" s="10" t="s">
        <v>112</v>
      </c>
      <c r="Q17" s="20">
        <f t="shared" si="2"/>
        <v>0</v>
      </c>
    </row>
    <row r="18">
      <c r="A18" s="10" t="s">
        <v>113</v>
      </c>
      <c r="B18" s="18">
        <v>0.0</v>
      </c>
      <c r="C18" s="10" t="s">
        <v>104</v>
      </c>
      <c r="D18" s="10" t="s">
        <v>113</v>
      </c>
      <c r="E18" s="18">
        <v>0.0</v>
      </c>
      <c r="F18" s="10" t="s">
        <v>104</v>
      </c>
      <c r="G18" s="17" t="s">
        <v>113</v>
      </c>
      <c r="H18" s="19">
        <v>0.0</v>
      </c>
      <c r="I18" s="17" t="s">
        <v>104</v>
      </c>
      <c r="J18" s="10" t="s">
        <v>113</v>
      </c>
      <c r="K18" s="18">
        <v>0.0</v>
      </c>
      <c r="M18" s="10" t="s">
        <v>113</v>
      </c>
      <c r="N18" s="18">
        <v>0.0</v>
      </c>
      <c r="O18" s="10" t="s">
        <v>104</v>
      </c>
      <c r="P18" s="10" t="s">
        <v>113</v>
      </c>
      <c r="Q18" s="20">
        <f t="shared" si="2"/>
        <v>0</v>
      </c>
    </row>
    <row r="19">
      <c r="A19" s="10" t="s">
        <v>114</v>
      </c>
      <c r="B19" s="18">
        <v>0.0</v>
      </c>
      <c r="C19" s="10" t="s">
        <v>104</v>
      </c>
      <c r="D19" s="10" t="s">
        <v>114</v>
      </c>
      <c r="E19" s="18">
        <v>0.0</v>
      </c>
      <c r="F19" s="10" t="s">
        <v>104</v>
      </c>
      <c r="G19" s="17" t="s">
        <v>114</v>
      </c>
      <c r="H19" s="19">
        <v>0.0</v>
      </c>
      <c r="I19" s="17" t="s">
        <v>104</v>
      </c>
      <c r="J19" s="10" t="s">
        <v>114</v>
      </c>
      <c r="K19" s="18">
        <v>0.0</v>
      </c>
      <c r="M19" s="10" t="s">
        <v>114</v>
      </c>
      <c r="N19" s="18">
        <v>0.0</v>
      </c>
      <c r="O19" s="10" t="s">
        <v>104</v>
      </c>
      <c r="P19" s="10" t="s">
        <v>114</v>
      </c>
      <c r="Q19" s="20">
        <f t="shared" si="2"/>
        <v>0</v>
      </c>
    </row>
    <row r="20">
      <c r="A20" s="10" t="s">
        <v>115</v>
      </c>
      <c r="B20" s="18">
        <v>0.0</v>
      </c>
      <c r="C20" s="10" t="s">
        <v>104</v>
      </c>
      <c r="D20" s="10" t="s">
        <v>115</v>
      </c>
      <c r="E20" s="18">
        <v>0.0</v>
      </c>
      <c r="F20" s="10" t="s">
        <v>104</v>
      </c>
      <c r="G20" s="17" t="s">
        <v>115</v>
      </c>
      <c r="H20" s="19">
        <v>0.0</v>
      </c>
      <c r="I20" s="17" t="s">
        <v>104</v>
      </c>
      <c r="J20" s="10" t="s">
        <v>115</v>
      </c>
      <c r="K20" s="18">
        <v>0.0</v>
      </c>
      <c r="M20" s="10" t="s">
        <v>115</v>
      </c>
      <c r="N20" s="18">
        <v>0.0</v>
      </c>
      <c r="O20" s="10" t="s">
        <v>104</v>
      </c>
      <c r="P20" s="10" t="s">
        <v>115</v>
      </c>
      <c r="Q20" s="20">
        <f t="shared" si="2"/>
        <v>0</v>
      </c>
    </row>
    <row r="21" ht="15.75" customHeight="1">
      <c r="A21" s="10" t="s">
        <v>116</v>
      </c>
      <c r="B21" s="18">
        <v>0.0</v>
      </c>
      <c r="C21" s="10" t="s">
        <v>104</v>
      </c>
      <c r="D21" s="10" t="s">
        <v>116</v>
      </c>
      <c r="E21" s="18">
        <v>0.0</v>
      </c>
      <c r="F21" s="10" t="s">
        <v>104</v>
      </c>
      <c r="G21" s="17" t="s">
        <v>116</v>
      </c>
      <c r="H21" s="19">
        <v>0.0</v>
      </c>
      <c r="I21" s="17" t="s">
        <v>104</v>
      </c>
      <c r="J21" s="10" t="s">
        <v>116</v>
      </c>
      <c r="K21" s="18">
        <v>0.0</v>
      </c>
      <c r="M21" s="10" t="s">
        <v>116</v>
      </c>
      <c r="N21" s="18">
        <v>0.0</v>
      </c>
      <c r="O21" s="10" t="s">
        <v>104</v>
      </c>
      <c r="P21" s="10" t="s">
        <v>116</v>
      </c>
      <c r="Q21" s="20">
        <f t="shared" si="2"/>
        <v>0</v>
      </c>
    </row>
    <row r="22" ht="15.75" customHeight="1">
      <c r="A22" s="22" t="s">
        <v>84</v>
      </c>
      <c r="B22" s="21">
        <f>SUM(B11:B21)</f>
        <v>2910</v>
      </c>
      <c r="D22" s="22" t="s">
        <v>84</v>
      </c>
      <c r="E22" s="21">
        <f>SUM(E11:E21)</f>
        <v>2910</v>
      </c>
      <c r="G22" s="23" t="s">
        <v>84</v>
      </c>
      <c r="H22" s="24">
        <f>SUM(H11:H21)</f>
        <v>2890</v>
      </c>
      <c r="I22" s="17"/>
      <c r="J22" s="22" t="s">
        <v>84</v>
      </c>
      <c r="K22" s="21">
        <f>SUM(K11:K21)</f>
        <v>2890</v>
      </c>
      <c r="M22" s="22" t="s">
        <v>84</v>
      </c>
      <c r="N22" s="21">
        <f>SUM(N11:N21)</f>
        <v>2890</v>
      </c>
      <c r="P22" s="22" t="s">
        <v>84</v>
      </c>
      <c r="Q22" s="20">
        <f t="shared" si="2"/>
        <v>14490</v>
      </c>
    </row>
    <row r="23" ht="15.75" customHeight="1">
      <c r="G23" s="17"/>
      <c r="H23" s="17"/>
      <c r="I23" s="17"/>
    </row>
    <row r="24" ht="15.75" customHeight="1">
      <c r="A24" s="22" t="s">
        <v>117</v>
      </c>
      <c r="B24" s="21">
        <f>SUM(B8-B22)</f>
        <v>90</v>
      </c>
      <c r="D24" s="22" t="s">
        <v>117</v>
      </c>
      <c r="E24" s="21">
        <f>SUM(E8-E22)</f>
        <v>90</v>
      </c>
      <c r="G24" s="23" t="s">
        <v>117</v>
      </c>
      <c r="H24" s="21">
        <f>SUM(H8-H22)</f>
        <v>110</v>
      </c>
      <c r="I24" s="17"/>
      <c r="J24" s="22" t="s">
        <v>117</v>
      </c>
      <c r="K24" s="21">
        <f>SUM(K8-K22)</f>
        <v>110</v>
      </c>
      <c r="M24" s="22" t="s">
        <v>117</v>
      </c>
      <c r="N24" s="21">
        <f>SUM(N8-N22)</f>
        <v>110</v>
      </c>
      <c r="P24" s="22" t="s">
        <v>117</v>
      </c>
      <c r="Q24" s="20">
        <f>N24+K24+H24+E24+B24</f>
        <v>510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86"/>
    <col customWidth="1" min="4" max="4" width="11.71"/>
    <col customWidth="1" min="5" max="7" width="10.86"/>
  </cols>
  <sheetData>
    <row r="1">
      <c r="A1" s="25" t="s">
        <v>0</v>
      </c>
      <c r="B1" s="26"/>
      <c r="C1" s="26"/>
      <c r="D1" s="26"/>
      <c r="E1" s="26"/>
      <c r="F1" s="26"/>
      <c r="G1" s="26"/>
    </row>
    <row r="2">
      <c r="A2" s="26" t="s">
        <v>118</v>
      </c>
      <c r="B2" s="26"/>
      <c r="C2" s="26"/>
      <c r="D2" s="26"/>
      <c r="E2" s="26"/>
      <c r="F2" s="26"/>
      <c r="G2" s="26"/>
    </row>
    <row r="3">
      <c r="A3" s="25" t="s">
        <v>119</v>
      </c>
      <c r="B3" s="26"/>
      <c r="C3" s="26"/>
      <c r="D3" s="26"/>
      <c r="E3" s="26"/>
      <c r="F3" s="26"/>
      <c r="G3" s="26"/>
    </row>
    <row r="4">
      <c r="A4" s="26"/>
      <c r="B4" s="26"/>
      <c r="C4" s="26"/>
      <c r="D4" s="26"/>
      <c r="E4" s="26"/>
      <c r="F4" s="26"/>
      <c r="G4" s="26"/>
    </row>
    <row r="5">
      <c r="A5" s="26"/>
      <c r="B5" s="26"/>
      <c r="C5" s="26"/>
      <c r="D5" s="26"/>
      <c r="E5" s="26"/>
      <c r="F5" s="26"/>
      <c r="G5" s="26"/>
    </row>
    <row r="6">
      <c r="A6" s="27"/>
      <c r="B6" s="27"/>
      <c r="C6" s="27"/>
      <c r="D6" s="28" t="s">
        <v>4</v>
      </c>
      <c r="E6" s="28" t="s">
        <v>5</v>
      </c>
      <c r="F6" s="26"/>
      <c r="G6" s="26"/>
    </row>
    <row r="7">
      <c r="A7" s="27"/>
      <c r="B7" s="27"/>
      <c r="C7" s="27"/>
      <c r="D7" s="26"/>
      <c r="E7" s="26"/>
      <c r="F7" s="26"/>
      <c r="G7" s="26"/>
    </row>
    <row r="8">
      <c r="A8" s="29" t="s">
        <v>120</v>
      </c>
      <c r="B8" s="30" t="s">
        <v>121</v>
      </c>
      <c r="C8" s="29"/>
      <c r="D8" s="26"/>
      <c r="E8" s="26"/>
      <c r="F8" s="25" t="s">
        <v>122</v>
      </c>
      <c r="G8" s="25" t="s">
        <v>123</v>
      </c>
    </row>
    <row r="9">
      <c r="A9" s="27" t="s">
        <v>124</v>
      </c>
      <c r="B9" s="31" t="s">
        <v>125</v>
      </c>
      <c r="C9" s="26"/>
      <c r="D9" s="32">
        <f t="shared" ref="D9:D10" si="1">F9*G9</f>
        <v>1600</v>
      </c>
      <c r="E9" s="33"/>
      <c r="F9" s="34">
        <v>80.0</v>
      </c>
      <c r="G9" s="35">
        <v>20.0</v>
      </c>
    </row>
    <row r="10">
      <c r="A10" s="27" t="s">
        <v>126</v>
      </c>
      <c r="B10" s="36" t="s">
        <v>127</v>
      </c>
      <c r="C10" s="27"/>
      <c r="D10" s="37">
        <f t="shared" si="1"/>
        <v>250</v>
      </c>
      <c r="E10" s="38"/>
      <c r="F10" s="34">
        <v>10.0</v>
      </c>
      <c r="G10" s="35">
        <v>25.0</v>
      </c>
    </row>
    <row r="11">
      <c r="A11" s="29" t="s">
        <v>128</v>
      </c>
      <c r="B11" s="31" t="s">
        <v>129</v>
      </c>
      <c r="C11" s="26"/>
      <c r="D11" s="37">
        <f>SUM(D9:D10)</f>
        <v>1850</v>
      </c>
      <c r="E11" s="38"/>
      <c r="F11" s="26"/>
      <c r="G11" s="39"/>
    </row>
    <row r="12">
      <c r="A12" s="27"/>
      <c r="B12" s="26"/>
      <c r="C12" s="27"/>
      <c r="D12" s="39"/>
      <c r="E12" s="40"/>
      <c r="F12" s="26"/>
      <c r="G12" s="39"/>
    </row>
    <row r="13">
      <c r="A13" s="29" t="s">
        <v>51</v>
      </c>
      <c r="B13" s="26"/>
      <c r="C13" s="29"/>
      <c r="D13" s="39"/>
      <c r="E13" s="40"/>
      <c r="F13" s="26"/>
      <c r="G13" s="39"/>
    </row>
    <row r="14">
      <c r="A14" s="27"/>
      <c r="B14" s="26"/>
      <c r="C14" s="27"/>
      <c r="D14" s="39"/>
      <c r="E14" s="40"/>
      <c r="F14" s="26"/>
      <c r="G14" s="39"/>
    </row>
    <row r="15">
      <c r="A15" s="27" t="s">
        <v>130</v>
      </c>
      <c r="B15" s="36" t="s">
        <v>131</v>
      </c>
      <c r="C15" s="27"/>
      <c r="D15" s="32">
        <v>0.0</v>
      </c>
      <c r="E15" s="33"/>
      <c r="F15" s="26"/>
      <c r="G15" s="39"/>
    </row>
    <row r="16">
      <c r="A16" s="27" t="s">
        <v>132</v>
      </c>
      <c r="B16" s="26"/>
      <c r="C16" s="26"/>
      <c r="D16" s="32">
        <v>0.0</v>
      </c>
      <c r="E16" s="33"/>
      <c r="F16" s="26"/>
      <c r="G16" s="39"/>
    </row>
    <row r="17">
      <c r="A17" s="27" t="s">
        <v>108</v>
      </c>
      <c r="B17" s="26"/>
      <c r="C17" s="26"/>
      <c r="D17" s="32">
        <v>150.54</v>
      </c>
      <c r="E17" s="33"/>
      <c r="F17" s="26"/>
      <c r="G17" s="39"/>
    </row>
    <row r="18">
      <c r="A18" s="27" t="s">
        <v>133</v>
      </c>
      <c r="B18" s="36" t="s">
        <v>134</v>
      </c>
      <c r="C18" s="26"/>
      <c r="D18" s="32">
        <v>0.0</v>
      </c>
      <c r="E18" s="40"/>
      <c r="F18" s="26"/>
      <c r="G18" s="39"/>
    </row>
    <row r="19">
      <c r="A19" s="27" t="s">
        <v>135</v>
      </c>
      <c r="B19" s="26"/>
      <c r="C19" s="27"/>
      <c r="D19" s="32">
        <v>0.0</v>
      </c>
      <c r="E19" s="33"/>
      <c r="F19" s="26"/>
      <c r="G19" s="39"/>
    </row>
    <row r="20">
      <c r="A20" s="27" t="s">
        <v>136</v>
      </c>
      <c r="B20" s="26"/>
      <c r="C20" s="27"/>
      <c r="D20" s="32">
        <v>0.0</v>
      </c>
      <c r="E20" s="33"/>
      <c r="F20" s="26"/>
      <c r="G20" s="39"/>
    </row>
    <row r="21" ht="15.75" customHeight="1">
      <c r="A21" s="27" t="s">
        <v>72</v>
      </c>
      <c r="B21" s="26"/>
      <c r="C21" s="27"/>
      <c r="D21" s="32">
        <f>F21*G21</f>
        <v>300</v>
      </c>
      <c r="E21" s="33"/>
      <c r="F21" s="41">
        <v>4.0</v>
      </c>
      <c r="G21" s="42">
        <v>75.0</v>
      </c>
    </row>
    <row r="22" ht="15.75" customHeight="1">
      <c r="A22" s="27" t="s">
        <v>137</v>
      </c>
      <c r="B22" s="26"/>
      <c r="C22" s="27"/>
      <c r="D22" s="32">
        <v>0.0</v>
      </c>
      <c r="E22" s="33"/>
      <c r="F22" s="26"/>
      <c r="G22" s="26"/>
    </row>
    <row r="23" ht="15.75" customHeight="1">
      <c r="A23" s="27" t="s">
        <v>138</v>
      </c>
      <c r="B23" s="36" t="s">
        <v>139</v>
      </c>
      <c r="C23" s="27"/>
      <c r="D23" s="32">
        <v>100.0</v>
      </c>
      <c r="E23" s="33"/>
      <c r="F23" s="26"/>
      <c r="G23" s="26"/>
    </row>
    <row r="24" ht="15.75" customHeight="1">
      <c r="A24" s="27" t="s">
        <v>140</v>
      </c>
      <c r="B24" s="26"/>
      <c r="C24" s="27"/>
      <c r="D24" s="32">
        <v>600.0</v>
      </c>
      <c r="E24" s="33"/>
      <c r="F24" s="26"/>
      <c r="G24" s="26"/>
    </row>
    <row r="25" ht="15.75" customHeight="1">
      <c r="A25" s="27" t="s">
        <v>141</v>
      </c>
      <c r="B25" s="36" t="s">
        <v>142</v>
      </c>
      <c r="C25" s="26"/>
      <c r="D25" s="32">
        <v>0.0</v>
      </c>
      <c r="E25" s="33"/>
      <c r="F25" s="26"/>
      <c r="G25" s="26"/>
    </row>
    <row r="26" ht="15.75" customHeight="1">
      <c r="A26" s="27"/>
      <c r="B26" s="27"/>
      <c r="C26" s="27"/>
      <c r="D26" s="37"/>
      <c r="E26" s="38"/>
      <c r="F26" s="26"/>
      <c r="G26" s="26"/>
    </row>
    <row r="27" ht="15.75" customHeight="1">
      <c r="A27" s="29" t="s">
        <v>143</v>
      </c>
      <c r="B27" s="29"/>
      <c r="C27" s="29"/>
      <c r="D27" s="37">
        <f t="shared" ref="D27:E27" si="2">SUM(D15:D26)</f>
        <v>1150.54</v>
      </c>
      <c r="E27" s="38">
        <f t="shared" si="2"/>
        <v>0</v>
      </c>
      <c r="F27" s="26"/>
      <c r="G27" s="26"/>
    </row>
    <row r="28" ht="15.75" customHeight="1">
      <c r="A28" s="27"/>
      <c r="B28" s="27"/>
      <c r="C28" s="27"/>
      <c r="D28" s="37"/>
      <c r="E28" s="38"/>
      <c r="F28" s="26"/>
      <c r="G28" s="26"/>
    </row>
    <row r="29" ht="15.75" customHeight="1">
      <c r="A29" s="29" t="s">
        <v>144</v>
      </c>
      <c r="B29" s="29"/>
      <c r="C29" s="29"/>
      <c r="D29" s="43">
        <f t="shared" ref="D29:E29" si="3">D11-D27</f>
        <v>699.46</v>
      </c>
      <c r="E29" s="44">
        <f t="shared" si="3"/>
        <v>0</v>
      </c>
      <c r="F29" s="26"/>
      <c r="G29" s="2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>
      <c r="A1" s="45" t="s">
        <v>145</v>
      </c>
    </row>
    <row r="3">
      <c r="A3" s="46" t="s">
        <v>120</v>
      </c>
      <c r="C3" s="3" t="s">
        <v>5</v>
      </c>
    </row>
    <row r="4">
      <c r="B4" s="3">
        <v>0.0</v>
      </c>
    </row>
    <row r="5">
      <c r="A5" s="47" t="s">
        <v>97</v>
      </c>
      <c r="B5" s="47">
        <v>0.0</v>
      </c>
    </row>
    <row r="9">
      <c r="A9" s="48" t="s">
        <v>51</v>
      </c>
      <c r="B9" s="49"/>
      <c r="C9" s="3" t="s">
        <v>5</v>
      </c>
    </row>
    <row r="10">
      <c r="A10" s="49" t="s">
        <v>146</v>
      </c>
      <c r="B10" s="50">
        <v>20.0</v>
      </c>
    </row>
    <row r="11">
      <c r="A11" s="49"/>
      <c r="B11" s="49">
        <v>0.0</v>
      </c>
    </row>
    <row r="12">
      <c r="A12" s="51" t="s">
        <v>97</v>
      </c>
      <c r="B12" s="52">
        <f>SUM(B10:B11)</f>
        <v>20</v>
      </c>
    </row>
    <row r="13">
      <c r="A13" s="49"/>
      <c r="B13" s="49"/>
    </row>
    <row r="14">
      <c r="A14" s="48" t="s">
        <v>91</v>
      </c>
      <c r="B14" s="53">
        <f>B5-B12</f>
        <v>-20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86"/>
    <col customWidth="1" min="2" max="9" width="10.86"/>
  </cols>
  <sheetData>
    <row r="1">
      <c r="A1" s="54" t="s">
        <v>0</v>
      </c>
    </row>
    <row r="2">
      <c r="A2" s="54" t="s">
        <v>147</v>
      </c>
    </row>
    <row r="3">
      <c r="A3" s="54" t="s">
        <v>148</v>
      </c>
    </row>
    <row r="4">
      <c r="A4" s="55" t="s">
        <v>149</v>
      </c>
    </row>
    <row r="5">
      <c r="A5" s="54"/>
      <c r="C5" s="1">
        <v>2020.0</v>
      </c>
      <c r="D5" s="1">
        <v>2022.0</v>
      </c>
      <c r="F5" s="1">
        <v>2023.0</v>
      </c>
      <c r="G5" s="1">
        <v>2023.0</v>
      </c>
      <c r="H5" s="1" t="s">
        <v>150</v>
      </c>
      <c r="I5" s="3" t="s">
        <v>6</v>
      </c>
    </row>
    <row r="6">
      <c r="C6" s="56" t="s">
        <v>5</v>
      </c>
      <c r="D6" s="56" t="s">
        <v>5</v>
      </c>
      <c r="F6" s="56" t="s">
        <v>4</v>
      </c>
      <c r="G6" s="56" t="s">
        <v>5</v>
      </c>
      <c r="H6" s="56" t="s">
        <v>151</v>
      </c>
    </row>
    <row r="7">
      <c r="A7" s="54" t="s">
        <v>120</v>
      </c>
      <c r="C7" s="4"/>
    </row>
    <row r="8">
      <c r="A8" s="3" t="s">
        <v>152</v>
      </c>
      <c r="B8" s="57" t="s">
        <v>153</v>
      </c>
      <c r="C8" s="57">
        <v>4275.0</v>
      </c>
      <c r="D8" s="57">
        <f>537+3760</f>
        <v>4297</v>
      </c>
      <c r="E8" s="57"/>
      <c r="F8" s="57">
        <v>4300.0</v>
      </c>
      <c r="G8" s="57"/>
      <c r="H8" s="7">
        <f t="shared" ref="H8:H13" si="1">G8-F8</f>
        <v>-4300</v>
      </c>
    </row>
    <row r="9">
      <c r="A9" s="3" t="s">
        <v>154</v>
      </c>
      <c r="B9" s="7" t="s">
        <v>155</v>
      </c>
      <c r="C9" s="7">
        <v>1725.0</v>
      </c>
      <c r="D9" s="7">
        <v>0.0</v>
      </c>
      <c r="E9" s="7"/>
      <c r="F9" s="7">
        <f>0*20</f>
        <v>0</v>
      </c>
      <c r="G9" s="7"/>
      <c r="H9" s="7">
        <f t="shared" si="1"/>
        <v>0</v>
      </c>
    </row>
    <row r="10">
      <c r="A10" s="3" t="s">
        <v>156</v>
      </c>
      <c r="B10" s="7"/>
      <c r="C10" s="7"/>
      <c r="D10" s="7">
        <v>0.0</v>
      </c>
      <c r="E10" s="7"/>
      <c r="F10" s="7">
        <v>0.0</v>
      </c>
      <c r="G10" s="7"/>
      <c r="H10" s="7">
        <f t="shared" si="1"/>
        <v>0</v>
      </c>
    </row>
    <row r="11">
      <c r="A11" s="3" t="s">
        <v>157</v>
      </c>
      <c r="B11" s="7" t="s">
        <v>158</v>
      </c>
      <c r="C11" s="7">
        <v>2063.0</v>
      </c>
      <c r="D11" s="7">
        <f>1420+270</f>
        <v>1690</v>
      </c>
      <c r="E11" s="7"/>
      <c r="F11" s="7">
        <v>0.0</v>
      </c>
      <c r="G11" s="7"/>
      <c r="H11" s="7">
        <f t="shared" si="1"/>
        <v>0</v>
      </c>
    </row>
    <row r="12">
      <c r="A12" s="3" t="s">
        <v>159</v>
      </c>
      <c r="B12" s="7" t="s">
        <v>160</v>
      </c>
      <c r="C12" s="7">
        <v>1248.0</v>
      </c>
      <c r="D12" s="7">
        <v>0.0</v>
      </c>
      <c r="E12" s="7"/>
      <c r="F12" s="7">
        <v>0.0</v>
      </c>
      <c r="G12" s="7"/>
      <c r="H12" s="7">
        <f t="shared" si="1"/>
        <v>0</v>
      </c>
    </row>
    <row r="13">
      <c r="A13" s="3" t="s">
        <v>128</v>
      </c>
      <c r="B13" s="57"/>
      <c r="C13" s="58">
        <f t="shared" ref="C13:D13" si="2">SUM(C8:C12)</f>
        <v>9311</v>
      </c>
      <c r="D13" s="58">
        <f t="shared" si="2"/>
        <v>5987</v>
      </c>
      <c r="E13" s="58"/>
      <c r="F13" s="58">
        <f t="shared" ref="F13:G13" si="3">SUM(F8:F12)</f>
        <v>4300</v>
      </c>
      <c r="G13" s="58">
        <f t="shared" si="3"/>
        <v>0</v>
      </c>
      <c r="H13" s="58">
        <f t="shared" si="1"/>
        <v>-4300</v>
      </c>
    </row>
    <row r="14">
      <c r="B14" s="57"/>
      <c r="C14" s="4"/>
      <c r="D14" s="57"/>
      <c r="E14" s="57"/>
      <c r="F14" s="57"/>
      <c r="G14" s="57"/>
      <c r="H14" s="57"/>
    </row>
    <row r="15">
      <c r="A15" s="54" t="s">
        <v>51</v>
      </c>
      <c r="B15" s="57"/>
      <c r="C15" s="4"/>
      <c r="D15" s="57"/>
      <c r="E15" s="57"/>
      <c r="F15" s="57"/>
      <c r="G15" s="57"/>
      <c r="H15" s="57"/>
    </row>
    <row r="16">
      <c r="A16" s="3" t="s">
        <v>161</v>
      </c>
      <c r="B16" s="7"/>
      <c r="C16" s="4">
        <v>0.0</v>
      </c>
      <c r="D16" s="7">
        <v>0.0</v>
      </c>
      <c r="E16" s="7"/>
      <c r="F16" s="7">
        <v>0.0</v>
      </c>
      <c r="G16" s="7"/>
      <c r="H16" s="7">
        <f t="shared" ref="H16:H32" si="4">G16-F16</f>
        <v>0</v>
      </c>
    </row>
    <row r="17">
      <c r="A17" s="3" t="s">
        <v>162</v>
      </c>
      <c r="B17" s="7" t="s">
        <v>163</v>
      </c>
      <c r="C17" s="4">
        <v>30.12</v>
      </c>
      <c r="D17" s="7">
        <v>0.0</v>
      </c>
      <c r="E17" s="7"/>
      <c r="F17" s="7">
        <f>0*0.12</f>
        <v>0</v>
      </c>
      <c r="G17" s="7"/>
      <c r="H17" s="7">
        <f t="shared" si="4"/>
        <v>0</v>
      </c>
    </row>
    <row r="18">
      <c r="A18" s="3" t="s">
        <v>156</v>
      </c>
      <c r="B18" s="7"/>
      <c r="C18" s="4"/>
      <c r="D18" s="7">
        <v>0.0</v>
      </c>
      <c r="E18" s="7"/>
      <c r="F18" s="7">
        <v>0.0</v>
      </c>
      <c r="G18" s="7"/>
      <c r="H18" s="7">
        <f t="shared" si="4"/>
        <v>0</v>
      </c>
    </row>
    <row r="19">
      <c r="A19" s="3" t="s">
        <v>164</v>
      </c>
      <c r="B19" s="7" t="s">
        <v>165</v>
      </c>
      <c r="C19" s="4">
        <f>114*1.5</f>
        <v>171</v>
      </c>
      <c r="D19" s="7">
        <v>0.0</v>
      </c>
      <c r="E19" s="7"/>
      <c r="F19" s="7">
        <v>0.0</v>
      </c>
      <c r="G19" s="7"/>
      <c r="H19" s="7">
        <f t="shared" si="4"/>
        <v>0</v>
      </c>
      <c r="I19" s="3" t="s">
        <v>166</v>
      </c>
    </row>
    <row r="20">
      <c r="A20" s="3" t="s">
        <v>159</v>
      </c>
      <c r="B20" s="7" t="s">
        <v>167</v>
      </c>
      <c r="C20" s="4">
        <v>749.0</v>
      </c>
      <c r="D20" s="7">
        <v>0.0</v>
      </c>
      <c r="E20" s="7"/>
      <c r="F20" s="7">
        <v>0.0</v>
      </c>
      <c r="G20" s="7"/>
      <c r="H20" s="7">
        <f t="shared" si="4"/>
        <v>0</v>
      </c>
    </row>
    <row r="21" ht="15.75" customHeight="1">
      <c r="A21" s="3" t="s">
        <v>168</v>
      </c>
      <c r="B21" s="7" t="s">
        <v>169</v>
      </c>
      <c r="C21" s="4">
        <v>3887.0</v>
      </c>
      <c r="D21" s="4">
        <f>(3300+150)*1.0825+160</f>
        <v>3894.625</v>
      </c>
      <c r="E21" s="4"/>
      <c r="F21" s="7">
        <v>3264.0</v>
      </c>
      <c r="G21" s="4"/>
      <c r="H21" s="7">
        <f t="shared" si="4"/>
        <v>-3264</v>
      </c>
    </row>
    <row r="22" ht="15.75" customHeight="1">
      <c r="A22" s="3" t="s">
        <v>170</v>
      </c>
      <c r="B22" s="7" t="s">
        <v>171</v>
      </c>
      <c r="C22" s="4">
        <v>2100.0</v>
      </c>
      <c r="D22" s="7">
        <v>2100.0</v>
      </c>
      <c r="E22" s="7"/>
      <c r="F22" s="7">
        <v>2100.0</v>
      </c>
      <c r="G22" s="7"/>
      <c r="H22" s="7">
        <f t="shared" si="4"/>
        <v>-2100</v>
      </c>
    </row>
    <row r="23" ht="15.75" customHeight="1">
      <c r="A23" s="3" t="s">
        <v>172</v>
      </c>
      <c r="B23" s="7" t="s">
        <v>173</v>
      </c>
      <c r="C23" s="4">
        <v>120.0</v>
      </c>
      <c r="D23" s="7">
        <f>20+9</f>
        <v>29</v>
      </c>
      <c r="E23" s="7"/>
      <c r="F23" s="7">
        <v>0.0</v>
      </c>
      <c r="G23" s="7"/>
      <c r="H23" s="7">
        <f t="shared" si="4"/>
        <v>0</v>
      </c>
    </row>
    <row r="24" ht="15.75" customHeight="1">
      <c r="A24" s="3" t="s">
        <v>174</v>
      </c>
      <c r="B24" s="7" t="s">
        <v>175</v>
      </c>
      <c r="C24" s="4">
        <f>(16*80)+(4*50)</f>
        <v>1480</v>
      </c>
      <c r="D24" s="7">
        <f>145+145+60+(8*120)+60+60+120+100</f>
        <v>1650</v>
      </c>
      <c r="E24" s="7"/>
      <c r="F24" s="7">
        <v>3500.0</v>
      </c>
      <c r="G24" s="7"/>
      <c r="H24" s="7">
        <f t="shared" si="4"/>
        <v>-3500</v>
      </c>
    </row>
    <row r="25" ht="15.75" customHeight="1">
      <c r="A25" s="3" t="s">
        <v>176</v>
      </c>
      <c r="B25" s="7" t="s">
        <v>177</v>
      </c>
      <c r="C25" s="4">
        <v>205.0</v>
      </c>
      <c r="D25" s="7"/>
      <c r="E25" s="7"/>
      <c r="F25" s="7">
        <v>0.0</v>
      </c>
      <c r="G25" s="7"/>
      <c r="H25" s="7">
        <f t="shared" si="4"/>
        <v>0</v>
      </c>
    </row>
    <row r="26" ht="15.75" customHeight="1">
      <c r="A26" s="3" t="s">
        <v>178</v>
      </c>
      <c r="B26" s="7" t="s">
        <v>179</v>
      </c>
      <c r="C26" s="4">
        <v>262.5</v>
      </c>
      <c r="D26" s="7">
        <v>0.0</v>
      </c>
      <c r="E26" s="7"/>
      <c r="F26" s="7">
        <v>300.0</v>
      </c>
      <c r="G26" s="7"/>
      <c r="H26" s="7">
        <f t="shared" si="4"/>
        <v>-300</v>
      </c>
    </row>
    <row r="27" ht="15.75" customHeight="1">
      <c r="A27" s="3" t="s">
        <v>180</v>
      </c>
      <c r="B27" s="7" t="s">
        <v>181</v>
      </c>
      <c r="C27" s="4">
        <f>244.61+15.88</f>
        <v>260.49</v>
      </c>
      <c r="D27" s="7">
        <f>11.98+158.48+17.59</f>
        <v>188.05</v>
      </c>
      <c r="E27" s="7"/>
      <c r="F27" s="7">
        <v>300.0</v>
      </c>
      <c r="G27" s="7"/>
      <c r="H27" s="7">
        <f t="shared" si="4"/>
        <v>-300</v>
      </c>
      <c r="I27" s="3" t="s">
        <v>111</v>
      </c>
    </row>
    <row r="28" ht="15.75" customHeight="1">
      <c r="A28" s="3" t="s">
        <v>182</v>
      </c>
      <c r="B28" s="7" t="s">
        <v>183</v>
      </c>
      <c r="C28" s="4">
        <v>400.0</v>
      </c>
      <c r="D28" s="7">
        <v>400.0</v>
      </c>
      <c r="E28" s="7"/>
      <c r="F28" s="7">
        <v>100.0</v>
      </c>
      <c r="G28" s="7"/>
      <c r="H28" s="7">
        <f t="shared" si="4"/>
        <v>-100</v>
      </c>
    </row>
    <row r="29" ht="15.75" customHeight="1">
      <c r="A29" s="3" t="s">
        <v>116</v>
      </c>
      <c r="B29" s="7"/>
      <c r="C29" s="4"/>
      <c r="D29" s="7"/>
      <c r="E29" s="7"/>
      <c r="F29" s="7">
        <v>500.0</v>
      </c>
      <c r="G29" s="7"/>
      <c r="H29" s="7">
        <f t="shared" si="4"/>
        <v>-500</v>
      </c>
    </row>
    <row r="30" ht="15.75" customHeight="1">
      <c r="A30" s="3" t="s">
        <v>184</v>
      </c>
      <c r="B30" s="7"/>
      <c r="C30" s="4"/>
      <c r="D30" s="7">
        <v>0.0</v>
      </c>
      <c r="E30" s="7"/>
      <c r="F30" s="7"/>
      <c r="G30" s="7"/>
      <c r="H30" s="7">
        <f t="shared" si="4"/>
        <v>0</v>
      </c>
    </row>
    <row r="31" ht="15.75" customHeight="1">
      <c r="A31" s="3" t="s">
        <v>185</v>
      </c>
      <c r="B31" s="7"/>
      <c r="C31" s="4">
        <v>35.0</v>
      </c>
      <c r="D31" s="9">
        <v>50.0</v>
      </c>
      <c r="E31" s="7"/>
      <c r="F31" s="7">
        <v>0.0</v>
      </c>
      <c r="G31" s="9"/>
      <c r="H31" s="7">
        <f t="shared" si="4"/>
        <v>0</v>
      </c>
    </row>
    <row r="32" ht="15.75" customHeight="1">
      <c r="A32" s="3" t="s">
        <v>143</v>
      </c>
      <c r="B32" s="57"/>
      <c r="C32" s="59">
        <f t="shared" ref="C32:D32" si="5">SUM(C16:C31)</f>
        <v>9700.11</v>
      </c>
      <c r="D32" s="60">
        <f t="shared" si="5"/>
        <v>8311.675</v>
      </c>
      <c r="E32" s="60"/>
      <c r="F32" s="58">
        <f t="shared" ref="F32:G32" si="6">SUM(F16:F31)</f>
        <v>10064</v>
      </c>
      <c r="G32" s="60">
        <f t="shared" si="6"/>
        <v>0</v>
      </c>
      <c r="H32" s="58">
        <f t="shared" si="4"/>
        <v>-10064</v>
      </c>
    </row>
    <row r="33" ht="15.75" customHeight="1">
      <c r="B33" s="57"/>
      <c r="C33" s="4"/>
      <c r="D33" s="58"/>
      <c r="E33" s="57"/>
      <c r="F33" s="57"/>
      <c r="G33" s="58"/>
      <c r="H33" s="57"/>
    </row>
    <row r="34" ht="15.75" customHeight="1">
      <c r="A34" s="3" t="s">
        <v>186</v>
      </c>
      <c r="B34" s="57"/>
      <c r="C34" s="61">
        <f t="shared" ref="C34:D34" si="7">C13-C32</f>
        <v>-389.11</v>
      </c>
      <c r="D34" s="62">
        <f t="shared" si="7"/>
        <v>-2324.675</v>
      </c>
      <c r="E34" s="62"/>
      <c r="F34" s="62">
        <f t="shared" ref="F34:G34" si="8">F13-F32</f>
        <v>-5764</v>
      </c>
      <c r="G34" s="62">
        <f t="shared" si="8"/>
        <v>0</v>
      </c>
      <c r="H34" s="58">
        <f>G34-F34</f>
        <v>5764</v>
      </c>
    </row>
    <row r="35" ht="15.75" customHeight="1"/>
    <row r="36" ht="15.75" customHeight="1">
      <c r="A36" s="3" t="s">
        <v>187</v>
      </c>
    </row>
    <row r="37" ht="15.75" customHeight="1">
      <c r="A37" s="3" t="s">
        <v>188</v>
      </c>
    </row>
    <row r="38" ht="15.75" customHeight="1">
      <c r="A38" s="3" t="s">
        <v>189</v>
      </c>
    </row>
    <row r="39" ht="15.75" customHeight="1">
      <c r="A39" s="3" t="s">
        <v>190</v>
      </c>
    </row>
    <row r="40" ht="15.75" customHeight="1">
      <c r="A40" s="3" t="s">
        <v>191</v>
      </c>
    </row>
    <row r="41" ht="15.75" customHeight="1">
      <c r="A41" s="3" t="s">
        <v>192</v>
      </c>
    </row>
    <row r="42" ht="15.75" customHeight="1">
      <c r="A42" s="3" t="s">
        <v>193</v>
      </c>
    </row>
    <row r="43" ht="15.75" customHeight="1">
      <c r="A43" s="3" t="s">
        <v>194</v>
      </c>
    </row>
    <row r="44" ht="15.75" customHeight="1">
      <c r="A44" s="3" t="s">
        <v>195</v>
      </c>
    </row>
    <row r="45" ht="15.75" customHeight="1">
      <c r="A45" s="3" t="s">
        <v>196</v>
      </c>
    </row>
    <row r="46" ht="15.75" customHeight="1">
      <c r="A46" s="3" t="s">
        <v>197</v>
      </c>
    </row>
    <row r="47" ht="15.75" customHeight="1">
      <c r="A47" s="3" t="s">
        <v>198</v>
      </c>
    </row>
    <row r="48" ht="15.75" customHeight="1">
      <c r="A48" s="3" t="s">
        <v>199</v>
      </c>
    </row>
    <row r="49" ht="15.75" customHeight="1">
      <c r="A49" s="3" t="s">
        <v>200</v>
      </c>
    </row>
    <row r="50" ht="15.75" customHeight="1">
      <c r="A50" s="3" t="s">
        <v>201</v>
      </c>
    </row>
    <row r="51" ht="15.75" customHeight="1">
      <c r="A51" s="3" t="s">
        <v>202</v>
      </c>
    </row>
    <row r="52" ht="15.75" customHeight="1">
      <c r="A52" s="3" t="s">
        <v>203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29"/>
    <col customWidth="1" min="2" max="14" width="10.86"/>
  </cols>
  <sheetData>
    <row r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>
      <c r="A2" s="8" t="s">
        <v>204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>
      <c r="A3" s="63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>
      <c r="A4" s="8"/>
      <c r="B4" s="1">
        <v>2023.0</v>
      </c>
      <c r="L4" s="8"/>
      <c r="M4" s="8"/>
      <c r="N4" s="8"/>
    </row>
    <row r="5">
      <c r="A5" s="8"/>
      <c r="B5" s="8"/>
      <c r="C5" s="1" t="s">
        <v>205</v>
      </c>
      <c r="D5" s="1"/>
      <c r="E5" s="1" t="s">
        <v>206</v>
      </c>
      <c r="F5" s="1"/>
      <c r="G5" s="1" t="s">
        <v>207</v>
      </c>
      <c r="H5" s="1"/>
      <c r="I5" s="1" t="s">
        <v>208</v>
      </c>
      <c r="J5" s="1"/>
      <c r="K5" s="1" t="s">
        <v>209</v>
      </c>
      <c r="L5" s="8"/>
      <c r="M5" s="1">
        <v>2023.0</v>
      </c>
      <c r="N5" s="8"/>
    </row>
    <row r="6">
      <c r="A6" s="8"/>
      <c r="B6" s="8"/>
      <c r="C6" s="1" t="s">
        <v>210</v>
      </c>
      <c r="D6" s="1"/>
      <c r="E6" s="1" t="s">
        <v>210</v>
      </c>
      <c r="F6" s="1"/>
      <c r="G6" s="1" t="s">
        <v>211</v>
      </c>
      <c r="H6" s="1"/>
      <c r="I6" s="1" t="s">
        <v>211</v>
      </c>
      <c r="J6" s="1"/>
      <c r="K6" s="1" t="s">
        <v>211</v>
      </c>
      <c r="L6" s="8"/>
      <c r="M6" s="1"/>
      <c r="N6" s="8"/>
    </row>
    <row r="7">
      <c r="A7" s="8" t="s">
        <v>212</v>
      </c>
      <c r="B7" s="56" t="s">
        <v>97</v>
      </c>
      <c r="C7" s="64" t="s">
        <v>213</v>
      </c>
      <c r="D7" s="64" t="s">
        <v>5</v>
      </c>
      <c r="E7" s="64" t="s">
        <v>213</v>
      </c>
      <c r="F7" s="64" t="s">
        <v>5</v>
      </c>
      <c r="G7" s="64" t="s">
        <v>214</v>
      </c>
      <c r="H7" s="64" t="s">
        <v>5</v>
      </c>
      <c r="I7" s="64" t="s">
        <v>214</v>
      </c>
      <c r="J7" s="64" t="s">
        <v>5</v>
      </c>
      <c r="K7" s="64" t="s">
        <v>215</v>
      </c>
      <c r="L7" s="56" t="s">
        <v>5</v>
      </c>
      <c r="M7" s="56" t="s">
        <v>4</v>
      </c>
      <c r="N7" s="8"/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>
      <c r="A9" s="8" t="s">
        <v>216</v>
      </c>
      <c r="B9" s="7">
        <f>SUM(C9:K9)</f>
        <v>2250</v>
      </c>
      <c r="C9" s="7">
        <v>450.0</v>
      </c>
      <c r="E9" s="7">
        <v>450.0</v>
      </c>
      <c r="F9" s="7"/>
      <c r="G9" s="7">
        <v>450.0</v>
      </c>
      <c r="I9" s="7">
        <v>450.0</v>
      </c>
      <c r="J9" s="7"/>
      <c r="K9" s="7">
        <v>450.0</v>
      </c>
      <c r="L9" s="8"/>
      <c r="M9" s="7">
        <f>SUM(C9:K9)</f>
        <v>2250</v>
      </c>
      <c r="N9" s="8" t="s">
        <v>153</v>
      </c>
    </row>
    <row r="10">
      <c r="A10" s="8"/>
      <c r="B10" s="8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</row>
    <row r="11">
      <c r="A11" s="8" t="s">
        <v>120</v>
      </c>
      <c r="B11" s="65">
        <f>SUM(C11:K11)</f>
        <v>20000</v>
      </c>
      <c r="C11" s="65">
        <v>4000.0</v>
      </c>
      <c r="D11" s="65"/>
      <c r="E11" s="65">
        <v>4000.0</v>
      </c>
      <c r="F11" s="65">
        <v>0.0</v>
      </c>
      <c r="G11" s="65">
        <v>4000.0</v>
      </c>
      <c r="H11" s="65"/>
      <c r="I11" s="65">
        <v>4000.0</v>
      </c>
      <c r="J11" s="65">
        <v>0.0</v>
      </c>
      <c r="K11" s="65">
        <v>4000.0</v>
      </c>
      <c r="L11" s="65">
        <v>0.0</v>
      </c>
      <c r="M11" s="65">
        <f>SUM(C11:K11)</f>
        <v>20000</v>
      </c>
      <c r="N11" s="8"/>
    </row>
    <row r="12">
      <c r="A12" s="8"/>
      <c r="B12" s="7">
        <f t="shared" ref="B12:M12" si="1">SUM(B11)</f>
        <v>20000</v>
      </c>
      <c r="C12" s="7">
        <f t="shared" si="1"/>
        <v>4000</v>
      </c>
      <c r="D12" s="7">
        <f t="shared" si="1"/>
        <v>0</v>
      </c>
      <c r="E12" s="7">
        <f t="shared" si="1"/>
        <v>4000</v>
      </c>
      <c r="F12" s="7">
        <f t="shared" si="1"/>
        <v>0</v>
      </c>
      <c r="G12" s="7">
        <f t="shared" si="1"/>
        <v>4000</v>
      </c>
      <c r="H12" s="7">
        <f t="shared" si="1"/>
        <v>0</v>
      </c>
      <c r="I12" s="7">
        <f t="shared" si="1"/>
        <v>4000</v>
      </c>
      <c r="J12" s="7">
        <f t="shared" si="1"/>
        <v>0</v>
      </c>
      <c r="K12" s="7">
        <f t="shared" si="1"/>
        <v>4000</v>
      </c>
      <c r="L12" s="7">
        <f t="shared" si="1"/>
        <v>0</v>
      </c>
      <c r="M12" s="7">
        <f t="shared" si="1"/>
        <v>20000</v>
      </c>
      <c r="N12" s="8"/>
    </row>
    <row r="13">
      <c r="A13" s="8" t="s">
        <v>51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</row>
    <row r="14">
      <c r="A14" s="8" t="s">
        <v>108</v>
      </c>
      <c r="B14" s="7">
        <f t="shared" ref="B14:B26" si="2">SUM(C14:K14)</f>
        <v>7202</v>
      </c>
      <c r="C14" s="7">
        <v>2226.0</v>
      </c>
      <c r="D14" s="7"/>
      <c r="E14" s="7">
        <v>2226.0</v>
      </c>
      <c r="F14" s="7">
        <v>0.0</v>
      </c>
      <c r="G14" s="7">
        <v>1000.0</v>
      </c>
      <c r="H14" s="7"/>
      <c r="I14" s="7">
        <v>1000.0</v>
      </c>
      <c r="J14" s="7"/>
      <c r="K14" s="7">
        <v>750.0</v>
      </c>
      <c r="L14" s="8"/>
      <c r="M14" s="7">
        <f t="shared" ref="M14:M26" si="3">SUM(C14:K14)</f>
        <v>7202</v>
      </c>
      <c r="N14" s="8" t="s">
        <v>155</v>
      </c>
    </row>
    <row r="15">
      <c r="A15" s="8" t="s">
        <v>140</v>
      </c>
      <c r="B15" s="7">
        <f t="shared" si="2"/>
        <v>4500</v>
      </c>
      <c r="C15" s="7">
        <v>900.0</v>
      </c>
      <c r="D15" s="7"/>
      <c r="E15" s="7">
        <v>900.0</v>
      </c>
      <c r="F15" s="7">
        <v>0.0</v>
      </c>
      <c r="G15" s="7">
        <v>900.0</v>
      </c>
      <c r="H15" s="7"/>
      <c r="I15" s="7">
        <v>900.0</v>
      </c>
      <c r="J15" s="7"/>
      <c r="K15" s="7">
        <v>900.0</v>
      </c>
      <c r="L15" s="8"/>
      <c r="M15" s="7">
        <f t="shared" si="3"/>
        <v>4500</v>
      </c>
      <c r="N15" s="8" t="s">
        <v>158</v>
      </c>
    </row>
    <row r="16">
      <c r="A16" s="8" t="s">
        <v>217</v>
      </c>
      <c r="B16" s="7">
        <f t="shared" si="2"/>
        <v>250</v>
      </c>
      <c r="C16" s="7">
        <v>50.0</v>
      </c>
      <c r="D16" s="7"/>
      <c r="E16" s="7">
        <v>50.0</v>
      </c>
      <c r="F16" s="7">
        <v>0.0</v>
      </c>
      <c r="G16" s="7">
        <v>50.0</v>
      </c>
      <c r="H16" s="7"/>
      <c r="I16" s="7">
        <v>50.0</v>
      </c>
      <c r="J16" s="7"/>
      <c r="K16" s="7">
        <v>50.0</v>
      </c>
      <c r="L16" s="8"/>
      <c r="M16" s="7">
        <f t="shared" si="3"/>
        <v>250</v>
      </c>
      <c r="N16" s="8"/>
    </row>
    <row r="17">
      <c r="A17" s="8" t="s">
        <v>218</v>
      </c>
      <c r="B17" s="7">
        <f t="shared" si="2"/>
        <v>500</v>
      </c>
      <c r="C17" s="7">
        <v>100.0</v>
      </c>
      <c r="D17" s="7">
        <v>0.0</v>
      </c>
      <c r="E17" s="7">
        <v>100.0</v>
      </c>
      <c r="F17" s="7">
        <v>0.0</v>
      </c>
      <c r="G17" s="7">
        <v>100.0</v>
      </c>
      <c r="H17" s="7"/>
      <c r="I17" s="7">
        <v>100.0</v>
      </c>
      <c r="J17" s="7"/>
      <c r="K17" s="7">
        <v>100.0</v>
      </c>
      <c r="L17" s="8"/>
      <c r="M17" s="7">
        <f t="shared" si="3"/>
        <v>500</v>
      </c>
      <c r="N17" s="8" t="s">
        <v>160</v>
      </c>
    </row>
    <row r="18">
      <c r="A18" s="8" t="s">
        <v>72</v>
      </c>
      <c r="B18" s="7">
        <f t="shared" si="2"/>
        <v>6855</v>
      </c>
      <c r="C18" s="7">
        <v>885.0</v>
      </c>
      <c r="D18" s="7"/>
      <c r="E18" s="7">
        <v>885.0</v>
      </c>
      <c r="F18" s="7">
        <v>0.0</v>
      </c>
      <c r="G18" s="7">
        <v>2100.0</v>
      </c>
      <c r="H18" s="7"/>
      <c r="I18" s="7">
        <v>2100.0</v>
      </c>
      <c r="J18" s="7"/>
      <c r="K18" s="7">
        <v>885.0</v>
      </c>
      <c r="L18" s="8"/>
      <c r="M18" s="7">
        <f t="shared" si="3"/>
        <v>6855</v>
      </c>
      <c r="N18" s="8" t="s">
        <v>163</v>
      </c>
    </row>
    <row r="19">
      <c r="A19" s="8" t="s">
        <v>132</v>
      </c>
      <c r="B19" s="7">
        <f t="shared" si="2"/>
        <v>120</v>
      </c>
      <c r="C19" s="7">
        <f>12*10</f>
        <v>120</v>
      </c>
      <c r="D19" s="7"/>
      <c r="E19" s="7">
        <v>0.0</v>
      </c>
      <c r="F19" s="7">
        <v>0.0</v>
      </c>
      <c r="G19" s="7">
        <v>0.0</v>
      </c>
      <c r="H19" s="7"/>
      <c r="I19" s="7">
        <v>0.0</v>
      </c>
      <c r="J19" s="7"/>
      <c r="K19" s="7">
        <v>0.0</v>
      </c>
      <c r="L19" s="8"/>
      <c r="M19" s="7">
        <f t="shared" si="3"/>
        <v>120</v>
      </c>
      <c r="N19" s="8"/>
    </row>
    <row r="20">
      <c r="A20" s="8" t="s">
        <v>219</v>
      </c>
      <c r="B20" s="7">
        <f t="shared" si="2"/>
        <v>250</v>
      </c>
      <c r="C20" s="7">
        <v>0.0</v>
      </c>
      <c r="D20" s="7">
        <v>0.0</v>
      </c>
      <c r="E20" s="7">
        <v>0.0</v>
      </c>
      <c r="F20" s="7">
        <v>0.0</v>
      </c>
      <c r="G20" s="7">
        <v>0.0</v>
      </c>
      <c r="H20" s="7"/>
      <c r="I20" s="7">
        <v>250.0</v>
      </c>
      <c r="J20" s="7"/>
      <c r="K20" s="7">
        <v>0.0</v>
      </c>
      <c r="L20" s="8"/>
      <c r="M20" s="7">
        <f t="shared" si="3"/>
        <v>250</v>
      </c>
      <c r="N20" s="8" t="s">
        <v>165</v>
      </c>
    </row>
    <row r="21" ht="15.75" customHeight="1">
      <c r="A21" s="8" t="s">
        <v>138</v>
      </c>
      <c r="B21" s="7">
        <f t="shared" si="2"/>
        <v>925</v>
      </c>
      <c r="C21" s="7">
        <v>185.0</v>
      </c>
      <c r="D21" s="65"/>
      <c r="E21" s="7">
        <v>185.0</v>
      </c>
      <c r="F21" s="7">
        <v>0.0</v>
      </c>
      <c r="G21" s="7">
        <v>185.0</v>
      </c>
      <c r="H21" s="7" t="s">
        <v>220</v>
      </c>
      <c r="I21" s="7">
        <v>185.0</v>
      </c>
      <c r="J21" s="7"/>
      <c r="K21" s="7">
        <v>185.0</v>
      </c>
      <c r="L21" s="8"/>
      <c r="M21" s="7">
        <f t="shared" si="3"/>
        <v>925</v>
      </c>
      <c r="N21" s="8" t="s">
        <v>167</v>
      </c>
    </row>
    <row r="22" ht="15.75" customHeight="1">
      <c r="A22" s="8" t="s">
        <v>135</v>
      </c>
      <c r="B22" s="7">
        <f t="shared" si="2"/>
        <v>0</v>
      </c>
      <c r="C22" s="7">
        <v>0.0</v>
      </c>
      <c r="D22" s="7">
        <v>0.0</v>
      </c>
      <c r="E22" s="7">
        <v>0.0</v>
      </c>
      <c r="F22" s="7">
        <v>0.0</v>
      </c>
      <c r="G22" s="7">
        <v>0.0</v>
      </c>
      <c r="H22" s="7"/>
      <c r="I22" s="7">
        <v>0.0</v>
      </c>
      <c r="J22" s="7"/>
      <c r="K22" s="7">
        <v>0.0</v>
      </c>
      <c r="L22" s="8"/>
      <c r="M22" s="7">
        <f t="shared" si="3"/>
        <v>0</v>
      </c>
      <c r="N22" s="8" t="s">
        <v>169</v>
      </c>
    </row>
    <row r="23" ht="15.75" customHeight="1">
      <c r="A23" s="8" t="s">
        <v>136</v>
      </c>
      <c r="B23" s="7">
        <f t="shared" si="2"/>
        <v>200</v>
      </c>
      <c r="C23" s="7">
        <f>(200*0.2)</f>
        <v>40</v>
      </c>
      <c r="D23" s="7"/>
      <c r="E23" s="7">
        <f>(200*0.2)</f>
        <v>40</v>
      </c>
      <c r="F23" s="7">
        <v>0.0</v>
      </c>
      <c r="G23" s="7">
        <f>(200*0.2)</f>
        <v>40</v>
      </c>
      <c r="H23" s="7"/>
      <c r="I23" s="7">
        <f>(200*0.2)</f>
        <v>40</v>
      </c>
      <c r="J23" s="7"/>
      <c r="K23" s="7">
        <f>(200*0.2)</f>
        <v>40</v>
      </c>
      <c r="L23" s="8"/>
      <c r="M23" s="7">
        <f t="shared" si="3"/>
        <v>200</v>
      </c>
      <c r="N23" s="8" t="s">
        <v>171</v>
      </c>
    </row>
    <row r="24" ht="15.75" customHeight="1">
      <c r="A24" s="8" t="s">
        <v>137</v>
      </c>
      <c r="B24" s="7">
        <f t="shared" si="2"/>
        <v>30</v>
      </c>
      <c r="C24" s="7">
        <v>6.0</v>
      </c>
      <c r="D24" s="7"/>
      <c r="E24" s="7">
        <v>6.0</v>
      </c>
      <c r="F24" s="7">
        <v>0.0</v>
      </c>
      <c r="G24" s="7">
        <v>6.0</v>
      </c>
      <c r="H24" s="7"/>
      <c r="I24" s="7">
        <v>6.0</v>
      </c>
      <c r="J24" s="7"/>
      <c r="K24" s="7">
        <v>6.0</v>
      </c>
      <c r="L24" s="8"/>
      <c r="M24" s="7">
        <f t="shared" si="3"/>
        <v>30</v>
      </c>
      <c r="N24" s="8" t="s">
        <v>173</v>
      </c>
    </row>
    <row r="25" ht="15.75" customHeight="1">
      <c r="A25" s="8" t="s">
        <v>107</v>
      </c>
      <c r="B25" s="7">
        <f t="shared" si="2"/>
        <v>880</v>
      </c>
      <c r="C25" s="7">
        <v>160.0</v>
      </c>
      <c r="D25" s="7"/>
      <c r="E25" s="7">
        <v>160.0</v>
      </c>
      <c r="F25" s="7">
        <v>0.0</v>
      </c>
      <c r="G25" s="7">
        <v>200.0</v>
      </c>
      <c r="H25" s="7"/>
      <c r="I25" s="7">
        <v>200.0</v>
      </c>
      <c r="J25" s="7"/>
      <c r="K25" s="7">
        <v>160.0</v>
      </c>
      <c r="L25" s="8"/>
      <c r="M25" s="7">
        <f t="shared" si="3"/>
        <v>880</v>
      </c>
      <c r="N25" s="8" t="s">
        <v>175</v>
      </c>
    </row>
    <row r="26" ht="15.75" customHeight="1">
      <c r="A26" s="8" t="s">
        <v>116</v>
      </c>
      <c r="B26" s="7">
        <f t="shared" si="2"/>
        <v>750</v>
      </c>
      <c r="C26" s="7">
        <v>0.0</v>
      </c>
      <c r="D26" s="7"/>
      <c r="E26" s="7">
        <v>250.0</v>
      </c>
      <c r="F26" s="7">
        <v>0.0</v>
      </c>
      <c r="G26" s="7">
        <v>250.0</v>
      </c>
      <c r="H26" s="7"/>
      <c r="I26" s="7">
        <v>250.0</v>
      </c>
      <c r="J26" s="7"/>
      <c r="K26" s="7">
        <v>0.0</v>
      </c>
      <c r="L26" s="8"/>
      <c r="M26" s="7">
        <f t="shared" si="3"/>
        <v>750</v>
      </c>
      <c r="N26" s="8"/>
    </row>
    <row r="27" ht="15.75" customHeight="1">
      <c r="A27" s="8"/>
      <c r="B27" s="8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</row>
    <row r="28" ht="15.75" customHeight="1">
      <c r="A28" s="8" t="s">
        <v>84</v>
      </c>
      <c r="B28" s="65">
        <f>SUM(C28:K28)</f>
        <v>22462</v>
      </c>
      <c r="C28" s="65">
        <f t="shared" ref="C28:M28" si="4">SUM(C14:C27)</f>
        <v>4672</v>
      </c>
      <c r="D28" s="65">
        <f t="shared" si="4"/>
        <v>0</v>
      </c>
      <c r="E28" s="65">
        <f t="shared" si="4"/>
        <v>4802</v>
      </c>
      <c r="F28" s="65">
        <f t="shared" si="4"/>
        <v>0</v>
      </c>
      <c r="G28" s="65">
        <f t="shared" si="4"/>
        <v>4831</v>
      </c>
      <c r="H28" s="65">
        <f t="shared" si="4"/>
        <v>0</v>
      </c>
      <c r="I28" s="65">
        <f t="shared" si="4"/>
        <v>5081</v>
      </c>
      <c r="J28" s="65">
        <f t="shared" si="4"/>
        <v>0</v>
      </c>
      <c r="K28" s="65">
        <f t="shared" si="4"/>
        <v>3076</v>
      </c>
      <c r="L28" s="65">
        <f t="shared" si="4"/>
        <v>0</v>
      </c>
      <c r="M28" s="65">
        <f t="shared" si="4"/>
        <v>22462</v>
      </c>
      <c r="N28" s="8"/>
    </row>
    <row r="29" ht="15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7"/>
      <c r="N29" s="8"/>
    </row>
    <row r="30" ht="15.75" customHeight="1">
      <c r="A30" s="8" t="s">
        <v>221</v>
      </c>
      <c r="B30" s="15">
        <f>SUM(C30:K30)</f>
        <v>-2462</v>
      </c>
      <c r="C30" s="15">
        <f t="shared" ref="C30:J30" si="5">C12-C28</f>
        <v>-672</v>
      </c>
      <c r="D30" s="15">
        <f t="shared" si="5"/>
        <v>0</v>
      </c>
      <c r="E30" s="15">
        <f t="shared" si="5"/>
        <v>-802</v>
      </c>
      <c r="F30" s="15">
        <f t="shared" si="5"/>
        <v>0</v>
      </c>
      <c r="G30" s="15">
        <f t="shared" si="5"/>
        <v>-831</v>
      </c>
      <c r="H30" s="15">
        <f t="shared" si="5"/>
        <v>0</v>
      </c>
      <c r="I30" s="15">
        <f t="shared" si="5"/>
        <v>-1081</v>
      </c>
      <c r="J30" s="15">
        <f t="shared" si="5"/>
        <v>0</v>
      </c>
      <c r="K30" s="15">
        <f>K11-K28</f>
        <v>924</v>
      </c>
      <c r="L30" s="15">
        <f t="shared" ref="L30:M30" si="6">L12-L28</f>
        <v>0</v>
      </c>
      <c r="M30" s="15">
        <f t="shared" si="6"/>
        <v>-2462</v>
      </c>
      <c r="N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ht="15.75" customHeight="1">
      <c r="A32" s="8" t="s">
        <v>222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ht="15.75" customHeight="1">
      <c r="A33" s="8" t="s">
        <v>223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5.75" customHeight="1">
      <c r="A34" s="8" t="s">
        <v>224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ht="15.75" customHeight="1">
      <c r="A35" s="8" t="s">
        <v>225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ht="15.75" customHeight="1">
      <c r="A36" s="8" t="s">
        <v>226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ht="15.75" customHeight="1">
      <c r="A37" s="8" t="s">
        <v>227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5.75" customHeight="1">
      <c r="A38" s="8" t="s">
        <v>228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ht="15.75" customHeight="1">
      <c r="A39" s="8" t="s">
        <v>229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ht="15.75" customHeight="1">
      <c r="A40" s="8" t="s">
        <v>230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ht="15.75" customHeight="1">
      <c r="A41" s="8" t="s">
        <v>231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ht="15.75" customHeight="1">
      <c r="A42" s="8" t="s">
        <v>232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ht="15.75" customHeight="1">
      <c r="A43" s="8" t="s">
        <v>233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.75" customHeight="1">
      <c r="A44" s="8" t="s">
        <v>234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K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10.71"/>
  </cols>
  <sheetData>
    <row r="2">
      <c r="C2" s="3" t="s">
        <v>92</v>
      </c>
      <c r="D2" s="3" t="s">
        <v>93</v>
      </c>
      <c r="E2" s="3" t="s">
        <v>94</v>
      </c>
      <c r="F2" s="3" t="s">
        <v>95</v>
      </c>
      <c r="G2" s="3" t="s">
        <v>96</v>
      </c>
      <c r="H2" s="3" t="s">
        <v>97</v>
      </c>
    </row>
    <row r="3">
      <c r="A3" s="10" t="s">
        <v>98</v>
      </c>
      <c r="C3" s="10" t="s">
        <v>4</v>
      </c>
      <c r="D3" s="10" t="s">
        <v>4</v>
      </c>
      <c r="E3" s="10" t="s">
        <v>4</v>
      </c>
      <c r="F3" s="3" t="s">
        <v>4</v>
      </c>
      <c r="G3" s="3" t="s">
        <v>4</v>
      </c>
      <c r="H3" s="3" t="s">
        <v>4</v>
      </c>
    </row>
    <row r="4">
      <c r="A4" s="10" t="s">
        <v>99</v>
      </c>
      <c r="C4" s="18">
        <v>4000.0</v>
      </c>
      <c r="D4" s="18">
        <v>4000.0</v>
      </c>
      <c r="E4" s="18">
        <v>4000.0</v>
      </c>
      <c r="F4" s="18">
        <v>4000.0</v>
      </c>
      <c r="G4" s="18">
        <v>4000.0</v>
      </c>
      <c r="H4" s="20">
        <f t="shared" ref="H4:H9" si="1">SUM(C4:G4)</f>
        <v>20000</v>
      </c>
    </row>
    <row r="5">
      <c r="A5" s="10" t="s">
        <v>101</v>
      </c>
      <c r="C5" s="18">
        <v>0.0</v>
      </c>
      <c r="D5" s="18">
        <v>0.0</v>
      </c>
      <c r="E5" s="18">
        <v>0.0</v>
      </c>
      <c r="F5" s="18">
        <v>0.0</v>
      </c>
      <c r="G5" s="18">
        <v>0.0</v>
      </c>
      <c r="H5" s="20">
        <f t="shared" si="1"/>
        <v>0</v>
      </c>
    </row>
    <row r="6">
      <c r="A6" s="10" t="s">
        <v>102</v>
      </c>
      <c r="C6" s="18">
        <v>0.0</v>
      </c>
      <c r="D6" s="18">
        <v>0.0</v>
      </c>
      <c r="E6" s="18">
        <v>0.0</v>
      </c>
      <c r="F6" s="18">
        <v>0.0</v>
      </c>
      <c r="G6" s="18">
        <v>0.0</v>
      </c>
      <c r="H6" s="20">
        <f t="shared" si="1"/>
        <v>0</v>
      </c>
    </row>
    <row r="7">
      <c r="A7" s="10" t="s">
        <v>103</v>
      </c>
      <c r="C7" s="18">
        <v>0.0</v>
      </c>
      <c r="D7" s="18">
        <v>0.0</v>
      </c>
      <c r="E7" s="18">
        <v>0.0</v>
      </c>
      <c r="F7" s="18">
        <v>0.0</v>
      </c>
      <c r="G7" s="18">
        <v>0.0</v>
      </c>
      <c r="H7" s="20">
        <f t="shared" si="1"/>
        <v>0</v>
      </c>
    </row>
    <row r="8">
      <c r="A8" s="10" t="s">
        <v>105</v>
      </c>
      <c r="C8" s="18">
        <v>0.0</v>
      </c>
      <c r="D8" s="18">
        <v>0.0</v>
      </c>
      <c r="E8" s="18">
        <v>0.0</v>
      </c>
      <c r="F8" s="18">
        <v>0.0</v>
      </c>
      <c r="G8" s="18">
        <v>0.0</v>
      </c>
      <c r="H8" s="20">
        <f t="shared" si="1"/>
        <v>0</v>
      </c>
    </row>
    <row r="9">
      <c r="A9" s="10" t="s">
        <v>50</v>
      </c>
      <c r="C9" s="21">
        <f t="shared" ref="C9:G9" si="2">SUM(C4:C8)</f>
        <v>4000</v>
      </c>
      <c r="D9" s="21">
        <f t="shared" si="2"/>
        <v>4000</v>
      </c>
      <c r="E9" s="21">
        <f t="shared" si="2"/>
        <v>4000</v>
      </c>
      <c r="F9" s="21">
        <f t="shared" si="2"/>
        <v>4000</v>
      </c>
      <c r="G9" s="21">
        <f t="shared" si="2"/>
        <v>4000</v>
      </c>
      <c r="H9" s="66">
        <f t="shared" si="1"/>
        <v>20000</v>
      </c>
    </row>
    <row r="11">
      <c r="A11" s="10" t="s">
        <v>106</v>
      </c>
    </row>
    <row r="12">
      <c r="A12" s="10" t="s">
        <v>107</v>
      </c>
      <c r="C12" s="18">
        <v>200.0</v>
      </c>
      <c r="D12" s="18">
        <v>160.0</v>
      </c>
      <c r="E12" s="18">
        <v>160.0</v>
      </c>
      <c r="F12" s="18">
        <v>200.0</v>
      </c>
      <c r="G12" s="18">
        <v>200.0</v>
      </c>
      <c r="H12" s="20">
        <f t="shared" ref="H12:H23" si="3">SUM(C12:G12)</f>
        <v>920</v>
      </c>
    </row>
    <row r="13">
      <c r="A13" s="10" t="s">
        <v>108</v>
      </c>
      <c r="C13" s="18">
        <v>1000.0</v>
      </c>
      <c r="D13" s="18">
        <v>2226.0</v>
      </c>
      <c r="E13" s="18">
        <v>2226.0</v>
      </c>
      <c r="F13" s="18">
        <v>1000.0</v>
      </c>
      <c r="G13" s="18">
        <v>1000.0</v>
      </c>
      <c r="H13" s="20">
        <f t="shared" si="3"/>
        <v>7452</v>
      </c>
    </row>
    <row r="14">
      <c r="A14" s="10" t="s">
        <v>109</v>
      </c>
      <c r="C14" s="18">
        <v>900.0</v>
      </c>
      <c r="D14" s="18">
        <v>900.0</v>
      </c>
      <c r="E14" s="18">
        <v>900.0</v>
      </c>
      <c r="F14" s="18">
        <v>900.0</v>
      </c>
      <c r="G14" s="18">
        <v>900.0</v>
      </c>
      <c r="H14" s="20">
        <f t="shared" si="3"/>
        <v>4500</v>
      </c>
    </row>
    <row r="15">
      <c r="A15" s="10" t="s">
        <v>110</v>
      </c>
      <c r="C15" s="18">
        <v>100.0</v>
      </c>
      <c r="D15" s="18">
        <v>100.0</v>
      </c>
      <c r="E15" s="18">
        <v>100.0</v>
      </c>
      <c r="F15" s="18">
        <v>100.0</v>
      </c>
      <c r="G15" s="18">
        <v>100.0</v>
      </c>
      <c r="H15" s="20">
        <f t="shared" si="3"/>
        <v>500</v>
      </c>
    </row>
    <row r="16">
      <c r="A16" s="10" t="s">
        <v>72</v>
      </c>
      <c r="C16" s="18">
        <v>885.0</v>
      </c>
      <c r="D16" s="18">
        <v>885.0</v>
      </c>
      <c r="E16" s="18">
        <v>2100.0</v>
      </c>
      <c r="F16" s="18">
        <v>2100.0</v>
      </c>
      <c r="G16" s="18">
        <v>2100.0</v>
      </c>
      <c r="H16" s="20">
        <f t="shared" si="3"/>
        <v>8070</v>
      </c>
    </row>
    <row r="17">
      <c r="A17" s="10" t="s">
        <v>111</v>
      </c>
      <c r="C17" s="18">
        <v>0.0</v>
      </c>
      <c r="D17" s="18">
        <v>0.0</v>
      </c>
      <c r="E17" s="18">
        <v>0.0</v>
      </c>
      <c r="F17" s="18">
        <v>0.0</v>
      </c>
      <c r="G17" s="18">
        <v>0.0</v>
      </c>
      <c r="H17" s="20">
        <f t="shared" si="3"/>
        <v>0</v>
      </c>
    </row>
    <row r="18">
      <c r="A18" s="10" t="s">
        <v>112</v>
      </c>
      <c r="C18" s="18">
        <v>0.0</v>
      </c>
      <c r="D18" s="18">
        <v>0.0</v>
      </c>
      <c r="E18" s="18">
        <v>0.0</v>
      </c>
      <c r="F18" s="18">
        <v>0.0</v>
      </c>
      <c r="G18" s="18">
        <v>0.0</v>
      </c>
      <c r="H18" s="20">
        <f t="shared" si="3"/>
        <v>0</v>
      </c>
    </row>
    <row r="19">
      <c r="A19" s="10" t="s">
        <v>113</v>
      </c>
      <c r="C19" s="18">
        <v>0.0</v>
      </c>
      <c r="D19" s="18">
        <v>0.0</v>
      </c>
      <c r="E19" s="18">
        <v>0.0</v>
      </c>
      <c r="F19" s="18">
        <v>0.0</v>
      </c>
      <c r="G19" s="18">
        <v>0.0</v>
      </c>
      <c r="H19" s="20">
        <f t="shared" si="3"/>
        <v>0</v>
      </c>
    </row>
    <row r="20">
      <c r="A20" s="10" t="s">
        <v>114</v>
      </c>
      <c r="C20" s="18">
        <v>0.0</v>
      </c>
      <c r="D20" s="18">
        <v>0.0</v>
      </c>
      <c r="E20" s="18">
        <v>0.0</v>
      </c>
      <c r="F20" s="18">
        <v>0.0</v>
      </c>
      <c r="G20" s="18">
        <v>0.0</v>
      </c>
      <c r="H20" s="20">
        <f t="shared" si="3"/>
        <v>0</v>
      </c>
    </row>
    <row r="21" ht="15.75" customHeight="1">
      <c r="A21" s="10" t="s">
        <v>115</v>
      </c>
      <c r="C21" s="18">
        <v>0.0</v>
      </c>
      <c r="D21" s="18">
        <v>0.0</v>
      </c>
      <c r="E21" s="18">
        <v>0.0</v>
      </c>
      <c r="F21" s="18">
        <v>0.0</v>
      </c>
      <c r="G21" s="18">
        <v>0.0</v>
      </c>
      <c r="H21" s="20">
        <f t="shared" si="3"/>
        <v>0</v>
      </c>
    </row>
    <row r="22" ht="15.75" customHeight="1">
      <c r="A22" s="10" t="s">
        <v>116</v>
      </c>
      <c r="C22" s="18">
        <v>0.0</v>
      </c>
      <c r="D22" s="18">
        <v>250.0</v>
      </c>
      <c r="E22" s="18">
        <v>250.0</v>
      </c>
      <c r="F22" s="18">
        <v>250.0</v>
      </c>
      <c r="G22" s="18">
        <v>250.0</v>
      </c>
      <c r="H22" s="20">
        <f t="shared" si="3"/>
        <v>1000</v>
      </c>
    </row>
    <row r="23" ht="15.75" customHeight="1">
      <c r="A23" s="22" t="s">
        <v>84</v>
      </c>
      <c r="C23" s="21">
        <f t="shared" ref="C23:G23" si="4">SUM(C12:C22)</f>
        <v>3085</v>
      </c>
      <c r="D23" s="21">
        <f t="shared" si="4"/>
        <v>4521</v>
      </c>
      <c r="E23" s="21">
        <f t="shared" si="4"/>
        <v>5736</v>
      </c>
      <c r="F23" s="21">
        <f t="shared" si="4"/>
        <v>4550</v>
      </c>
      <c r="G23" s="21">
        <f t="shared" si="4"/>
        <v>4550</v>
      </c>
      <c r="H23" s="66">
        <f t="shared" si="3"/>
        <v>22442</v>
      </c>
    </row>
    <row r="24" ht="15.75" customHeight="1"/>
    <row r="25" ht="15.75" customHeight="1">
      <c r="A25" s="22" t="s">
        <v>117</v>
      </c>
      <c r="C25" s="21">
        <f t="shared" ref="C25:G25" si="5">SUM(C9-C23)</f>
        <v>915</v>
      </c>
      <c r="D25" s="21">
        <f t="shared" si="5"/>
        <v>-521</v>
      </c>
      <c r="E25" s="21">
        <f t="shared" si="5"/>
        <v>-1736</v>
      </c>
      <c r="F25" s="21">
        <f t="shared" si="5"/>
        <v>-550</v>
      </c>
      <c r="G25" s="21">
        <f t="shared" si="5"/>
        <v>-550</v>
      </c>
      <c r="H25" s="66">
        <f>SUM(C25:G25)</f>
        <v>-2442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0"/>
    <col customWidth="1" min="2" max="6" width="10.86"/>
  </cols>
  <sheetData>
    <row r="1">
      <c r="A1" s="46" t="s">
        <v>235</v>
      </c>
    </row>
    <row r="2">
      <c r="A2" s="46" t="s">
        <v>120</v>
      </c>
      <c r="C2" s="3" t="s">
        <v>5</v>
      </c>
    </row>
    <row r="3">
      <c r="A3" s="3" t="s">
        <v>236</v>
      </c>
      <c r="B3" s="3">
        <v>500.0</v>
      </c>
    </row>
    <row r="4">
      <c r="A4" s="47" t="s">
        <v>97</v>
      </c>
      <c r="B4" s="47">
        <v>5500.0</v>
      </c>
    </row>
    <row r="8">
      <c r="A8" s="48" t="s">
        <v>51</v>
      </c>
      <c r="B8" s="49"/>
      <c r="C8" s="3" t="s">
        <v>5</v>
      </c>
    </row>
    <row r="9">
      <c r="A9" s="49" t="s">
        <v>237</v>
      </c>
      <c r="B9" s="50">
        <v>1000.0</v>
      </c>
    </row>
    <row r="10">
      <c r="A10" s="49" t="s">
        <v>238</v>
      </c>
      <c r="B10" s="50">
        <v>160.0</v>
      </c>
    </row>
    <row r="11">
      <c r="A11" s="49" t="s">
        <v>239</v>
      </c>
      <c r="B11" s="49">
        <v>500.0</v>
      </c>
    </row>
    <row r="12">
      <c r="A12" s="51" t="s">
        <v>97</v>
      </c>
      <c r="B12" s="52">
        <f>SUM(B9:B11)</f>
        <v>1660</v>
      </c>
    </row>
    <row r="13">
      <c r="A13" s="49"/>
      <c r="B13" s="49"/>
    </row>
    <row r="14">
      <c r="A14" s="48" t="s">
        <v>240</v>
      </c>
      <c r="B14" s="53">
        <f>-5000</f>
        <v>-5000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7.0"/>
    <col customWidth="1" min="3" max="3" width="10.43"/>
    <col customWidth="1" min="4" max="7" width="10.86"/>
  </cols>
  <sheetData>
    <row r="1">
      <c r="A1" s="67" t="s">
        <v>241</v>
      </c>
    </row>
    <row r="2">
      <c r="A2" s="67"/>
      <c r="B2" s="67"/>
      <c r="C2" s="67"/>
      <c r="D2" s="67"/>
      <c r="E2" s="67"/>
      <c r="F2" s="67"/>
      <c r="G2" s="68"/>
    </row>
    <row r="3" ht="15.75" customHeight="1">
      <c r="A3" s="69" t="s">
        <v>120</v>
      </c>
    </row>
    <row r="4">
      <c r="A4" s="70" t="s">
        <v>242</v>
      </c>
      <c r="B4" s="70" t="s">
        <v>243</v>
      </c>
      <c r="C4" s="71" t="s">
        <v>119</v>
      </c>
      <c r="D4" s="71" t="s">
        <v>244</v>
      </c>
      <c r="E4" s="72" t="s">
        <v>245</v>
      </c>
      <c r="F4" s="71" t="s">
        <v>246</v>
      </c>
      <c r="G4" s="71" t="s">
        <v>247</v>
      </c>
    </row>
    <row r="5">
      <c r="A5" s="73" t="s">
        <v>248</v>
      </c>
      <c r="B5" s="73" t="s">
        <v>249</v>
      </c>
      <c r="C5" s="74">
        <f>(275*30)+(175*35)+(50*40)</f>
        <v>16375</v>
      </c>
      <c r="D5" s="75">
        <v>0.0</v>
      </c>
      <c r="E5" s="76">
        <v>14990.0</v>
      </c>
      <c r="F5" s="74">
        <f>3600.18+3841.99+781.75+1940.22+408+565.52-727.66</f>
        <v>10410</v>
      </c>
      <c r="G5" s="74">
        <f>250+321+215+356+25+540+820+1032+2349+1257+3263+1959+105+235</f>
        <v>12727</v>
      </c>
    </row>
    <row r="6">
      <c r="A6" s="73" t="s">
        <v>250</v>
      </c>
      <c r="B6" s="73"/>
      <c r="C6" s="74">
        <v>450.0</v>
      </c>
      <c r="D6" s="76">
        <v>0.0</v>
      </c>
      <c r="E6" s="76">
        <v>450.0</v>
      </c>
      <c r="F6" s="74">
        <v>450.0</v>
      </c>
      <c r="G6" s="74">
        <v>0.0</v>
      </c>
    </row>
    <row r="7">
      <c r="A7" s="73" t="s">
        <v>251</v>
      </c>
      <c r="B7" s="73"/>
      <c r="C7" s="74">
        <v>0.0</v>
      </c>
      <c r="D7" s="76">
        <v>0.0</v>
      </c>
      <c r="E7" s="76">
        <v>0.0</v>
      </c>
      <c r="F7" s="74">
        <v>0.0</v>
      </c>
      <c r="G7" s="74">
        <v>0.0</v>
      </c>
    </row>
    <row r="8">
      <c r="A8" s="73" t="s">
        <v>252</v>
      </c>
      <c r="B8" s="73" t="s">
        <v>253</v>
      </c>
      <c r="C8" s="77">
        <f>SUM(E8:G8)/3</f>
        <v>722.72</v>
      </c>
      <c r="D8" s="78">
        <v>0.0</v>
      </c>
      <c r="E8" s="78">
        <v>590.0</v>
      </c>
      <c r="F8" s="77">
        <v>727.66</v>
      </c>
      <c r="G8" s="77">
        <f>35+23+25+20+83+95+337+162.5+5+65</f>
        <v>850.5</v>
      </c>
    </row>
    <row r="9">
      <c r="A9" s="79"/>
      <c r="B9" s="80" t="s">
        <v>254</v>
      </c>
      <c r="C9" s="81">
        <f t="shared" ref="C9:G9" si="1">SUM(C5:C8)</f>
        <v>17547.72</v>
      </c>
      <c r="D9" s="81">
        <f t="shared" si="1"/>
        <v>0</v>
      </c>
      <c r="E9" s="82">
        <f t="shared" si="1"/>
        <v>16030</v>
      </c>
      <c r="F9" s="81">
        <f t="shared" si="1"/>
        <v>11587.66</v>
      </c>
      <c r="G9" s="81">
        <f t="shared" si="1"/>
        <v>13577.5</v>
      </c>
    </row>
    <row r="10">
      <c r="A10" s="79"/>
      <c r="B10" s="79"/>
      <c r="C10" s="79"/>
      <c r="D10" s="79"/>
      <c r="E10" s="79"/>
    </row>
    <row r="11" ht="15.75" customHeight="1">
      <c r="A11" s="69" t="s">
        <v>51</v>
      </c>
    </row>
    <row r="12">
      <c r="A12" s="70" t="s">
        <v>242</v>
      </c>
      <c r="B12" s="70" t="s">
        <v>243</v>
      </c>
      <c r="C12" s="71" t="s">
        <v>119</v>
      </c>
      <c r="D12" s="71" t="s">
        <v>244</v>
      </c>
      <c r="E12" s="71" t="s">
        <v>245</v>
      </c>
      <c r="F12" s="83" t="s">
        <v>246</v>
      </c>
      <c r="G12" s="71" t="s">
        <v>247</v>
      </c>
    </row>
    <row r="13">
      <c r="A13" s="73" t="s">
        <v>130</v>
      </c>
      <c r="B13" s="73"/>
      <c r="C13" s="74">
        <v>0.0</v>
      </c>
      <c r="D13" s="75">
        <v>0.0</v>
      </c>
      <c r="E13" s="74">
        <v>0.0</v>
      </c>
      <c r="F13" s="84">
        <v>0.0</v>
      </c>
      <c r="G13" s="74">
        <v>0.0</v>
      </c>
    </row>
    <row r="14">
      <c r="A14" s="73" t="s">
        <v>102</v>
      </c>
      <c r="B14" s="73" t="s">
        <v>255</v>
      </c>
      <c r="C14" s="74">
        <v>722.72</v>
      </c>
      <c r="D14" s="76">
        <v>0.0</v>
      </c>
      <c r="E14" s="74">
        <v>590.0</v>
      </c>
      <c r="F14" s="84">
        <v>727.66</v>
      </c>
      <c r="G14" s="74">
        <f>850.5</f>
        <v>850.5</v>
      </c>
    </row>
    <row r="15">
      <c r="A15" s="73" t="s">
        <v>256</v>
      </c>
      <c r="B15" s="73" t="s">
        <v>257</v>
      </c>
      <c r="C15" s="74">
        <v>15.0</v>
      </c>
      <c r="D15" s="76">
        <v>0.0</v>
      </c>
      <c r="E15" s="74">
        <v>0.0</v>
      </c>
      <c r="F15" s="84">
        <v>0.0</v>
      </c>
      <c r="G15" s="74">
        <v>15.0</v>
      </c>
    </row>
    <row r="16">
      <c r="A16" s="73" t="s">
        <v>258</v>
      </c>
      <c r="B16" s="73" t="s">
        <v>259</v>
      </c>
      <c r="C16" s="74">
        <f t="shared" ref="C16:C17" si="2">E16*1.05</f>
        <v>445.5045</v>
      </c>
      <c r="D16" s="76">
        <v>0.0</v>
      </c>
      <c r="E16" s="74">
        <v>424.29</v>
      </c>
      <c r="F16" s="84">
        <v>0.0</v>
      </c>
      <c r="G16" s="74">
        <f>8.77+49.02</f>
        <v>57.79</v>
      </c>
    </row>
    <row r="17">
      <c r="A17" s="73" t="s">
        <v>260</v>
      </c>
      <c r="B17" s="73" t="s">
        <v>261</v>
      </c>
      <c r="C17" s="74">
        <f t="shared" si="2"/>
        <v>208.173</v>
      </c>
      <c r="D17" s="76">
        <v>0.0</v>
      </c>
      <c r="E17" s="74">
        <v>198.26</v>
      </c>
      <c r="F17" s="84">
        <v>120.57</v>
      </c>
      <c r="G17" s="74">
        <f>19.62+123.1</f>
        <v>142.72</v>
      </c>
    </row>
    <row r="18">
      <c r="A18" s="73" t="s">
        <v>262</v>
      </c>
      <c r="B18" s="73"/>
      <c r="C18" s="74">
        <v>0.0</v>
      </c>
      <c r="D18" s="76">
        <v>0.0</v>
      </c>
      <c r="E18" s="74">
        <v>0.0</v>
      </c>
      <c r="F18" s="84">
        <v>0.0</v>
      </c>
      <c r="G18" s="74">
        <v>0.0</v>
      </c>
    </row>
    <row r="19">
      <c r="A19" s="73" t="s">
        <v>218</v>
      </c>
      <c r="B19" s="73" t="s">
        <v>263</v>
      </c>
      <c r="C19" s="74">
        <v>500.0</v>
      </c>
      <c r="D19" s="76">
        <v>0.0</v>
      </c>
      <c r="E19" s="74">
        <v>0.0</v>
      </c>
      <c r="F19" s="84">
        <v>0.0</v>
      </c>
      <c r="G19" s="74">
        <v>0.0</v>
      </c>
    </row>
    <row r="20">
      <c r="A20" s="73" t="s">
        <v>264</v>
      </c>
      <c r="B20" s="73"/>
      <c r="C20" s="74">
        <v>50.0</v>
      </c>
      <c r="D20" s="76">
        <v>0.0</v>
      </c>
      <c r="E20" s="74">
        <v>0.0</v>
      </c>
      <c r="F20" s="84">
        <v>0.0</v>
      </c>
      <c r="G20" s="74">
        <v>0.0</v>
      </c>
    </row>
    <row r="21" ht="15.75" customHeight="1">
      <c r="A21" s="73" t="s">
        <v>136</v>
      </c>
      <c r="B21" s="73" t="s">
        <v>265</v>
      </c>
      <c r="C21" s="85">
        <v>100.0</v>
      </c>
      <c r="D21" s="76">
        <v>0.0</v>
      </c>
      <c r="E21" s="74">
        <v>95.0</v>
      </c>
      <c r="F21" s="84">
        <v>0.0</v>
      </c>
      <c r="G21" s="74">
        <v>0.0</v>
      </c>
    </row>
    <row r="22" ht="15.75" customHeight="1">
      <c r="A22" s="73" t="s">
        <v>72</v>
      </c>
      <c r="B22" s="73"/>
      <c r="C22" s="74">
        <v>0.0</v>
      </c>
      <c r="D22" s="76">
        <v>0.0</v>
      </c>
      <c r="E22" s="74">
        <v>0.0</v>
      </c>
      <c r="F22" s="84">
        <v>0.0</v>
      </c>
      <c r="G22" s="74">
        <v>0.0</v>
      </c>
    </row>
    <row r="23" ht="15.75" customHeight="1">
      <c r="A23" s="73" t="s">
        <v>266</v>
      </c>
      <c r="B23" s="73" t="s">
        <v>267</v>
      </c>
      <c r="C23" s="74">
        <f>159+80+79+(2398*1.09)+(500*5)</f>
        <v>5431.82</v>
      </c>
      <c r="D23" s="76">
        <v>0.0</v>
      </c>
      <c r="E23" s="74">
        <v>4686.0</v>
      </c>
      <c r="F23" s="84">
        <v>4161.0</v>
      </c>
      <c r="G23" s="74">
        <v>4420.0</v>
      </c>
    </row>
    <row r="24" ht="15.75" customHeight="1">
      <c r="A24" s="73" t="s">
        <v>137</v>
      </c>
      <c r="B24" s="73" t="s">
        <v>268</v>
      </c>
      <c r="C24" s="74">
        <v>25.0</v>
      </c>
      <c r="D24" s="76">
        <v>0.0</v>
      </c>
      <c r="E24" s="74">
        <v>0.0</v>
      </c>
      <c r="F24" s="84">
        <v>0.0</v>
      </c>
      <c r="G24" s="74">
        <v>0.0</v>
      </c>
    </row>
    <row r="25" ht="15.75" customHeight="1">
      <c r="A25" s="73" t="s">
        <v>269</v>
      </c>
      <c r="B25" s="73" t="s">
        <v>270</v>
      </c>
      <c r="C25" s="74">
        <v>200.0</v>
      </c>
      <c r="D25" s="76">
        <v>0.0</v>
      </c>
      <c r="E25" s="74">
        <v>0.0</v>
      </c>
      <c r="F25" s="84">
        <v>0.0</v>
      </c>
      <c r="G25" s="74">
        <v>0.0</v>
      </c>
    </row>
    <row r="26" ht="15.75" customHeight="1">
      <c r="A26" s="73" t="s">
        <v>271</v>
      </c>
      <c r="B26" s="73" t="s">
        <v>272</v>
      </c>
      <c r="C26" s="74">
        <v>950.0</v>
      </c>
      <c r="D26" s="76">
        <v>0.0</v>
      </c>
      <c r="E26" s="74">
        <v>950.0</v>
      </c>
      <c r="F26" s="84">
        <f>450+500</f>
        <v>950</v>
      </c>
      <c r="G26" s="74">
        <f>350+500</f>
        <v>850</v>
      </c>
    </row>
    <row r="27" ht="15.75" customHeight="1">
      <c r="A27" s="73" t="s">
        <v>273</v>
      </c>
      <c r="B27" s="73" t="s">
        <v>274</v>
      </c>
      <c r="C27" s="74">
        <v>205.0</v>
      </c>
      <c r="D27" s="76">
        <v>0.0</v>
      </c>
      <c r="E27" s="74">
        <v>286.6</v>
      </c>
      <c r="F27" s="84">
        <v>205.0</v>
      </c>
      <c r="G27" s="74">
        <v>205.0</v>
      </c>
    </row>
    <row r="28" ht="15.75" customHeight="1">
      <c r="A28" s="73" t="s">
        <v>109</v>
      </c>
      <c r="B28" s="73" t="s">
        <v>275</v>
      </c>
      <c r="C28" s="74">
        <f>500*2.5</f>
        <v>1250</v>
      </c>
      <c r="D28" s="76">
        <v>0.0</v>
      </c>
      <c r="E28" s="74">
        <v>1014.75</v>
      </c>
      <c r="F28" s="84">
        <v>706.5</v>
      </c>
      <c r="G28" s="74">
        <v>1061.25</v>
      </c>
    </row>
    <row r="29" ht="15.75" customHeight="1">
      <c r="A29" s="73" t="s">
        <v>141</v>
      </c>
      <c r="B29" s="73" t="s">
        <v>276</v>
      </c>
      <c r="C29" s="74">
        <f>620*1.06</f>
        <v>657.2</v>
      </c>
      <c r="D29" s="76">
        <v>0.0</v>
      </c>
      <c r="E29" s="74">
        <v>581.17</v>
      </c>
      <c r="F29" s="84">
        <v>853.4</v>
      </c>
      <c r="G29" s="74">
        <v>637.35</v>
      </c>
    </row>
    <row r="30" ht="15.75" customHeight="1">
      <c r="A30" s="73" t="s">
        <v>277</v>
      </c>
      <c r="B30" s="73" t="s">
        <v>278</v>
      </c>
      <c r="C30" s="74">
        <f>1765.13*1.06</f>
        <v>1871.0378</v>
      </c>
      <c r="D30" s="76">
        <v>0.0</v>
      </c>
      <c r="E30" s="74">
        <v>1765.13</v>
      </c>
      <c r="F30" s="84">
        <v>1448.01</v>
      </c>
      <c r="G30" s="74">
        <v>1325.48</v>
      </c>
    </row>
    <row r="31" ht="15.75" customHeight="1">
      <c r="A31" s="73" t="s">
        <v>279</v>
      </c>
      <c r="B31" s="73"/>
      <c r="C31" s="74">
        <v>0.0</v>
      </c>
      <c r="D31" s="76">
        <v>0.0</v>
      </c>
      <c r="E31" s="74">
        <v>0.0</v>
      </c>
      <c r="F31" s="84">
        <v>0.0</v>
      </c>
      <c r="G31" s="74">
        <v>0.0</v>
      </c>
    </row>
    <row r="32" ht="15.75" customHeight="1">
      <c r="A32" s="73" t="s">
        <v>280</v>
      </c>
      <c r="B32" s="73" t="s">
        <v>281</v>
      </c>
      <c r="C32" s="77">
        <f>600*7.5</f>
        <v>4500</v>
      </c>
      <c r="D32" s="78">
        <v>0.0</v>
      </c>
      <c r="E32" s="77">
        <v>3150.0</v>
      </c>
      <c r="F32" s="86">
        <f>2037.25+435</f>
        <v>2472.25</v>
      </c>
      <c r="G32" s="77">
        <v>4012.5</v>
      </c>
    </row>
    <row r="33" ht="15.75" customHeight="1">
      <c r="A33" s="73"/>
      <c r="B33" s="80" t="s">
        <v>282</v>
      </c>
      <c r="C33" s="81">
        <f t="shared" ref="C33:G33" si="3">SUM(C13:C32)</f>
        <v>17131.4553</v>
      </c>
      <c r="D33" s="81">
        <f t="shared" si="3"/>
        <v>0</v>
      </c>
      <c r="E33" s="82">
        <f t="shared" si="3"/>
        <v>13741.2</v>
      </c>
      <c r="F33" s="81">
        <f t="shared" si="3"/>
        <v>11644.39</v>
      </c>
      <c r="G33" s="81">
        <f t="shared" si="3"/>
        <v>13577.59</v>
      </c>
    </row>
    <row r="34" ht="15.75" customHeight="1">
      <c r="A34" s="73"/>
      <c r="B34" s="80" t="s">
        <v>283</v>
      </c>
      <c r="C34" s="81">
        <f>C33+C37</f>
        <v>17339.58765</v>
      </c>
      <c r="D34" s="81"/>
      <c r="E34" s="81"/>
      <c r="F34" s="81"/>
      <c r="G34" s="81"/>
    </row>
    <row r="35" ht="15.75" customHeight="1">
      <c r="A35" s="73"/>
      <c r="B35" s="73"/>
      <c r="C35" s="74"/>
      <c r="D35" s="74"/>
      <c r="E35" s="79"/>
      <c r="F35" s="68"/>
    </row>
    <row r="36" ht="15.75" customHeight="1">
      <c r="A36" s="79"/>
      <c r="B36" s="87" t="s">
        <v>284</v>
      </c>
      <c r="C36" s="88">
        <f t="shared" ref="C36:G36" si="4">C9-C33</f>
        <v>416.2647</v>
      </c>
      <c r="D36" s="88">
        <f t="shared" si="4"/>
        <v>0</v>
      </c>
      <c r="E36" s="89">
        <f t="shared" si="4"/>
        <v>2288.8</v>
      </c>
      <c r="F36" s="88">
        <f t="shared" si="4"/>
        <v>-56.73</v>
      </c>
      <c r="G36" s="88">
        <f t="shared" si="4"/>
        <v>-0.09</v>
      </c>
    </row>
    <row r="37" ht="15.75" customHeight="1">
      <c r="A37" s="79"/>
      <c r="B37" s="87" t="s">
        <v>285</v>
      </c>
      <c r="C37" s="88">
        <f t="shared" ref="C37:E37" si="5">C36/2</f>
        <v>208.13235</v>
      </c>
      <c r="D37" s="88">
        <f t="shared" si="5"/>
        <v>0</v>
      </c>
      <c r="E37" s="89">
        <f t="shared" si="5"/>
        <v>1144.4</v>
      </c>
      <c r="F37" s="88">
        <f t="shared" ref="F37:G37" si="6">F36</f>
        <v>-56.73</v>
      </c>
      <c r="G37" s="88">
        <f t="shared" si="6"/>
        <v>-0.09</v>
      </c>
    </row>
    <row r="38" ht="15.75" customHeight="1">
      <c r="A38" s="79"/>
      <c r="B38" s="87" t="s">
        <v>286</v>
      </c>
      <c r="C38" s="90">
        <f t="shared" ref="C38:E38" si="7">C36/2+C8</f>
        <v>930.85235</v>
      </c>
      <c r="D38" s="90">
        <f t="shared" si="7"/>
        <v>0</v>
      </c>
      <c r="E38" s="90">
        <f t="shared" si="7"/>
        <v>1734.4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3:F3"/>
    <mergeCell ref="A11:F11"/>
  </mergeCells>
  <printOptions/>
  <pageMargins bottom="0.75" footer="0.0" header="0.0" left="0.7" right="0.7" top="0.75"/>
  <pageSetup orientation="landscape"/>
  <drawing r:id="rId2"/>
  <legacyDrawing r:id="rId3"/>
</worksheet>
</file>